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AeNWQwMHUq1Nh3m9hG5DqrVZ2Cw9f++MkgWCCQW1Nl4gY1HamahfumGc5BsI3EVbIC/QPmVVNYD5A7076Hd2Ew==" workbookSaltValue="WYFJBfHnqt4U26dtDtlW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T32" i="21"/>
  <c r="AF32" i="20"/>
  <c r="S32" i="20"/>
  <c r="AQ32" i="21"/>
  <c r="AJ32" i="20"/>
  <c r="G30" i="14"/>
  <c r="G23" i="14"/>
  <c r="U18" i="11"/>
  <c r="AX32" i="20"/>
  <c r="Y32" i="20"/>
  <c r="L32" i="20"/>
  <c r="AG32" i="20"/>
  <c r="H32" i="20"/>
  <c r="F32" i="20"/>
  <c r="G26" i="14"/>
  <c r="K32" i="20"/>
  <c r="O17" i="11"/>
  <c r="BF17" i="8" l="1"/>
  <c r="L17" i="14"/>
  <c r="BH11" i="16"/>
  <c r="BI16" i="11"/>
  <c r="BU25" i="17"/>
  <c r="BU13" i="17"/>
  <c r="BF12" i="11"/>
  <c r="BK10" i="11"/>
  <c r="X21" i="20"/>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K19" i="11"/>
  <c r="BJ21" i="11"/>
  <c r="BG9" i="11"/>
  <c r="R18" i="20"/>
  <c r="R23" i="20" s="1"/>
  <c r="BK18" i="11"/>
  <c r="AP18" i="20"/>
  <c r="BV13" i="16"/>
  <c r="BV21" i="16"/>
  <c r="BV11" i="16"/>
  <c r="S21" i="17"/>
  <c r="BV20" i="16"/>
  <c r="AZ11" i="11"/>
  <c r="BK20" i="11"/>
  <c r="Q16" i="17"/>
  <c r="BL22" i="11"/>
  <c r="L16" i="2"/>
  <c r="L9" i="2"/>
  <c r="V25" i="16"/>
  <c r="R13" i="17"/>
  <c r="P13" i="14"/>
  <c r="R13" i="14" s="1"/>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D32" i="20"/>
  <c r="AC32" i="20"/>
  <c r="AV32" i="20"/>
  <c r="O10" i="11"/>
  <c r="AP32" i="20"/>
  <c r="U17" i="11"/>
  <c r="W32" i="21"/>
  <c r="AQ32" i="20"/>
  <c r="AN32" i="20"/>
  <c r="K17" i="12" l="1"/>
  <c r="AZ14" i="11"/>
  <c r="S23" i="16"/>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N32" i="11"/>
  <c r="W32" i="16"/>
  <c r="AM32" i="21"/>
  <c r="U32" i="21"/>
  <c r="AD32" i="16"/>
  <c r="S32" i="17"/>
  <c r="AV32" i="11"/>
  <c r="AG32" i="16"/>
  <c r="BH32" i="16"/>
  <c r="M32" i="11"/>
  <c r="V32" i="21"/>
  <c r="BG32" i="16"/>
  <c r="P32" i="16"/>
  <c r="AI32" i="21"/>
  <c r="T32" i="17"/>
  <c r="AZ32" i="11"/>
  <c r="G32" i="12"/>
  <c r="AJ32" i="21"/>
  <c r="AC32" i="16"/>
  <c r="AA32" i="21"/>
  <c r="AE32" i="16"/>
  <c r="AH32" i="16"/>
  <c r="E32" i="17"/>
  <c r="S32" i="11"/>
  <c r="BE32" i="21"/>
  <c r="BC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W32" i="11"/>
  <c r="BA32" i="16"/>
  <c r="R32" i="21"/>
  <c r="AO32" i="16"/>
  <c r="J32" i="12"/>
  <c r="AT32" i="17"/>
  <c r="AA32" i="16"/>
  <c r="AJ32" i="11"/>
  <c r="AJ32" i="17"/>
  <c r="AI32" i="11"/>
  <c r="F32" i="17"/>
  <c r="AW32" i="16"/>
  <c r="O32" i="16"/>
  <c r="AL32" i="16"/>
  <c r="BD32" i="16"/>
  <c r="J32" i="11"/>
  <c r="K32" i="16"/>
  <c r="AG32" i="21"/>
  <c r="BO32" i="16"/>
  <c r="AY32" i="11"/>
  <c r="N32" i="16"/>
  <c r="R32" i="16"/>
  <c r="AM32" i="11"/>
  <c r="Q32" i="17"/>
  <c r="J32" i="16"/>
  <c r="AN32" i="16"/>
  <c r="AU32" i="21"/>
  <c r="AG32" i="17"/>
  <c r="AC32" i="17"/>
  <c r="AF32" i="16"/>
  <c r="BK32" i="16"/>
  <c r="P32" i="17"/>
  <c r="P32" i="21"/>
  <c r="AS32" i="11"/>
  <c r="AP32" i="17"/>
  <c r="AE32" i="17"/>
  <c r="F32" i="16"/>
  <c r="AK32" i="11"/>
  <c r="E32" i="12"/>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<sst xmlns="http://schemas.openxmlformats.org/spreadsheetml/2006/main" count="2682" uniqueCount="1192">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</sst>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Wi7ohP92q6TkyW+HPCtvWFAtP6vVaDhNKdIb1956495S9rSODvlngvrAvmJklRAtYzKdTk+znt8fosOf25DPA==" saltValue="WZ3pWZRc5p4uCFHEGL1S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28</v>
      </c>
      <c r="D10" s="239">
        <f>IF(ISNUMBER(Datos!I10),Datos!I10," - ")</f>
        <v>28</v>
      </c>
      <c r="E10" s="240">
        <f>IF(ISNUMBER(Datos!J10),Datos!J10," - ")</f>
        <v>24</v>
      </c>
      <c r="F10" s="240">
        <f>IF(ISNUMBER(Datos!K10),Datos!K10," - ")</f>
        <v>18</v>
      </c>
      <c r="G10" s="1390" t="str">
        <f>IF(Datos!E10&lt;&gt;"",Datos!E10,Datos!D10)</f>
        <v>37</v>
      </c>
      <c r="H10" s="241">
        <f>IF(ISNUMBER(Datos!L10),Datos!L10," - ")</f>
        <v>34</v>
      </c>
      <c r="I10" s="1400" t="str">
        <f>IF(ISNUMBER(Datos!AS10/Datos!BM10),Datos!AS10/Datos!BM10," - ")</f>
        <v xml:space="preserve"> - </v>
      </c>
      <c r="J10" s="1401">
        <f>IF(ISNUMBER(Datos!BY10/Datos!CN10),Datos!BY10/Datos!CN10," - ")</f>
        <v>0</v>
      </c>
      <c r="K10" s="244">
        <f t="shared" ref="K10:K13" si="1">IF(ISNUMBER((E10-F10)/C10),(E10-F10)/C10," - ")</f>
        <v>0.21428571428571427</v>
      </c>
      <c r="L10" s="1402">
        <f>IF(ISNUMBER(NºAsuntos!I10/NºAsuntos!G10),(NºAsuntos!I10/NºAsuntos!G10)*11," - ")</f>
        <v>20.777777777777779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22.153667054714784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24</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1467</v>
      </c>
      <c r="D17" s="239">
        <f>IF(ISNUMBER(IF(D_I="SI",Datos!I17,Datos!I17+Datos!AC17)),IF(D_I="SI",Datos!I17,Datos!I17+Datos!AC17)," - ")</f>
        <v>1446</v>
      </c>
      <c r="E17" s="240">
        <f>IF(ISNUMBER(IF(D_I="SI",Datos!J17,Datos!J17+Datos!AD17)),IF(D_I="SI",Datos!J17,Datos!J17+Datos!AD17)," - ")</f>
        <v>1303</v>
      </c>
      <c r="F17" s="240">
        <f>IF(ISNUMBER(IF(D_I="SI",Datos!K17,Datos!K17+Datos!AE17)),IF(D_I="SI",Datos!K17,Datos!K17+Datos!AE17)," - ")</f>
        <v>1343</v>
      </c>
      <c r="G17" s="1390" t="str">
        <f>IF(Datos!E17&lt;&gt;"",Datos!E17,Datos!D17)</f>
        <v>04</v>
      </c>
      <c r="H17" s="241">
        <f>IF(ISNUMBER(IF(D_I="SI",Datos!L17,Datos!L17+Datos!AF17)),IF(D_I="SI",Datos!L17,Datos!L17+Datos!AF17)," - ")</f>
        <v>1427</v>
      </c>
      <c r="I17" s="1400" t="str">
        <f>IF(ISNUMBER(Datos!AS17/Datos!BM17),Datos!AS17/Datos!BM17," - ")</f>
        <v xml:space="preserve"> - </v>
      </c>
      <c r="J17" s="1401">
        <f>IF(ISNUMBER(Datos!BY17/Datos!CN17),Datos!BY17/Datos!CN17," - ")</f>
        <v>0</v>
      </c>
      <c r="K17" s="244">
        <f t="shared" si="3"/>
        <v>-2.7266530334014997E-2</v>
      </c>
      <c r="L17" s="1402">
        <f>IF(ISNUMBER(NºAsuntos!I17/NºAsuntos!G17),(NºAsuntos!I17/NºAsuntos!G17)*11," - ")</f>
        <v>11.688011913626211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99</v>
      </c>
      <c r="D18" s="239">
        <f>IF(ISNUMBER(IF(D_I="SI",Datos!I18,Datos!I18+Datos!AC18)),IF(D_I="SI",Datos!I18,Datos!I18+Datos!AC18)," - ")</f>
        <v>99</v>
      </c>
      <c r="E18" s="240">
        <f>IF(ISNUMBER(IF(D_I="SI",Datos!J18,Datos!J18+Datos!AD18)),IF(D_I="SI",Datos!J18,Datos!J18+Datos!AD18)," - ")</f>
        <v>201</v>
      </c>
      <c r="F18" s="240">
        <f>IF(ISNUMBER(IF(D_I="SI",Datos!K18,Datos!K18+Datos!AE18)),IF(D_I="SI",Datos!K18,Datos!K18+Datos!AE18)," - ")</f>
        <v>178</v>
      </c>
      <c r="G18" s="1390" t="str">
        <f>IF(Datos!E18&lt;&gt;"",Datos!E18,Datos!D18)</f>
        <v>37</v>
      </c>
      <c r="H18" s="241">
        <f>IF(ISNUMBER(IF(D_I="SI",Datos!L18,Datos!L18+Datos!AF18)),IF(D_I="SI",Datos!L18,Datos!L18+Datos!AF18)," - ")</f>
        <v>122</v>
      </c>
      <c r="I18" s="1400" t="str">
        <f>IF(ISNUMBER(Datos!AS18/Datos!BM18),Datos!AS18/Datos!BM18," - ")</f>
        <v xml:space="preserve"> - </v>
      </c>
      <c r="J18" s="1401" t="str">
        <f>IF(ISNUMBER((Datos!BY18+Datos!BZ18)/Datos!CN18),(Datos!BY18+Datos!BZ18)/Datos!CN18," - ")</f>
        <v xml:space="preserve"> - </v>
      </c>
      <c r="K18" s="244">
        <f t="shared" si="3"/>
        <v>0.23232323232323232</v>
      </c>
      <c r="L18" s="1402">
        <f>IF(ISNUMBER(NºAsuntos!I18/NºAsuntos!G18),(NºAsuntos!I18/NºAsuntos!G18)*11," - ")</f>
        <v>7.5393258426966296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1566</v>
      </c>
      <c r="D23" s="1407">
        <f>SUBTOTAL(9,D16:D22)</f>
        <v>1545</v>
      </c>
      <c r="E23" s="1408">
        <f>SUBTOTAL(9,E16:E22)</f>
        <v>1504</v>
      </c>
      <c r="F23" s="1408">
        <f>SUBTOTAL(9,F16:F22)</f>
        <v>1521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1594</v>
      </c>
      <c r="D31" s="1435">
        <f>SUBTOTAL(9,D9:D30)</f>
        <v>1573</v>
      </c>
      <c r="E31" s="1436">
        <f>SUBTOTAL(9,E9:E30)</f>
        <v>1528</v>
      </c>
      <c r="F31" s="1436">
        <f>SUBTOTAL(9,F9:F30)</f>
        <v>1539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r49j8rTXh88QsZ9XkFhD8dcySyHhvOw85HA91vINcrJxGTYRv6dCqKMez1QNXjOwrXtDjX77CDe1QE9QxyS6g==" saltValue="afZ4xj7Aw0wiKloy9Hes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t63U/1AUtNjnjt5iqVJJWKLyiH6tot4t9SD37YzxHXiAqssescyQylKi1IOWXgXyzozgFA7m3eVaUB3oYMj9Q==" saltValue="9lKGPbRRSKS/W2dZo859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24</v>
      </c>
      <c r="K10" s="194">
        <v>18</v>
      </c>
      <c r="L10" s="194">
        <v>34</v>
      </c>
      <c r="M10" s="194">
        <v>6</v>
      </c>
      <c r="N10" s="194">
        <v>12</v>
      </c>
      <c r="O10" s="194">
        <v>3</v>
      </c>
      <c r="P10" s="194">
        <v>0</v>
      </c>
      <c r="Q10" s="194">
        <v>11</v>
      </c>
      <c r="R10" s="194">
        <v>8</v>
      </c>
      <c r="S10" s="194">
        <v>31</v>
      </c>
      <c r="T10" s="194">
        <v>11</v>
      </c>
      <c r="U10" s="194">
        <v>10</v>
      </c>
      <c r="V10" s="194">
        <v>32</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1066</v>
      </c>
      <c r="AT10" s="205"/>
      <c r="AU10" s="213"/>
      <c r="AV10" s="205"/>
      <c r="AW10" s="213"/>
      <c r="AX10" s="205"/>
      <c r="AY10" s="138">
        <f t="shared" ref="AY10:BC10" si="0">IF(ISNUMBER(S10),S10," - ")</f>
        <v>31</v>
      </c>
      <c r="AZ10" s="139">
        <f t="shared" si="0"/>
        <v>11</v>
      </c>
      <c r="BA10" s="139">
        <f t="shared" si="0"/>
        <v>10</v>
      </c>
      <c r="BB10" s="139">
        <f t="shared" si="0"/>
        <v>32</v>
      </c>
      <c r="BC10" s="135">
        <f t="shared" si="0"/>
        <v>5</v>
      </c>
      <c r="BD10" s="136">
        <f>IF(ISNUMBER(BA10/AZ10),BA10/AZ10," - ")</f>
        <v>0.90909090909090906</v>
      </c>
      <c r="BE10" s="137">
        <f>IF(ISNUMBER(BB10/BA10),BB10/BA10, " - ")</f>
        <v>3.2</v>
      </c>
      <c r="BF10" s="137">
        <f>IF(ISNUMBER(BC10/BA10),BC10/BA10, " - ")</f>
        <v>0.5</v>
      </c>
      <c r="BG10" s="209">
        <f>IF(ISNUMBER((AY10+AZ10)/BA10),(AY10+AZ10)/BA10," - ")</f>
        <v>4.2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3170</v>
      </c>
      <c r="J12" s="196">
        <v>1567</v>
      </c>
      <c r="K12" s="196">
        <v>1479</v>
      </c>
      <c r="L12" s="196">
        <v>3258</v>
      </c>
      <c r="M12" s="196">
        <v>711</v>
      </c>
      <c r="N12" s="196">
        <v>490</v>
      </c>
      <c r="O12" s="194">
        <v>659</v>
      </c>
      <c r="P12" s="196">
        <v>540</v>
      </c>
      <c r="Q12" s="196">
        <v>314</v>
      </c>
      <c r="R12" s="196">
        <v>5523</v>
      </c>
      <c r="S12" s="196">
        <v>3370</v>
      </c>
      <c r="T12" s="196">
        <v>2038</v>
      </c>
      <c r="U12" s="196">
        <v>1682</v>
      </c>
      <c r="V12" s="196">
        <v>3519</v>
      </c>
      <c r="W12" s="196">
        <v>799</v>
      </c>
      <c r="X12" s="202">
        <v>462</v>
      </c>
      <c r="Y12" s="204">
        <v>189</v>
      </c>
      <c r="Z12" s="194">
        <v>252</v>
      </c>
      <c r="AA12" s="194">
        <v>239</v>
      </c>
      <c r="AB12" s="194">
        <v>202</v>
      </c>
      <c r="AC12" s="196">
        <v>0</v>
      </c>
      <c r="AD12" s="196">
        <v>0</v>
      </c>
      <c r="AE12" s="196">
        <v>0</v>
      </c>
      <c r="AF12" s="202">
        <v>0</v>
      </c>
      <c r="AG12" s="215">
        <v>163</v>
      </c>
      <c r="AH12" s="196">
        <v>224</v>
      </c>
      <c r="AI12" s="196">
        <v>205</v>
      </c>
      <c r="AJ12" s="216">
        <v>172</v>
      </c>
      <c r="AK12" s="195">
        <v>0</v>
      </c>
      <c r="AL12" s="196">
        <v>0</v>
      </c>
      <c r="AM12" s="196">
        <v>0</v>
      </c>
      <c r="AN12" s="202">
        <v>0</v>
      </c>
      <c r="AO12" s="283">
        <v>7</v>
      </c>
      <c r="AP12" s="168">
        <v>7</v>
      </c>
      <c r="AQ12" s="168">
        <v>7</v>
      </c>
      <c r="AR12" s="167">
        <v>7</v>
      </c>
      <c r="AS12" s="381" t="s">
        <v>1075</v>
      </c>
      <c r="AT12" s="216"/>
      <c r="AU12" s="215"/>
      <c r="AV12" s="216"/>
      <c r="AW12" s="215"/>
      <c r="AX12" s="216"/>
      <c r="AY12" s="136">
        <f t="shared" si="1"/>
        <v>3533</v>
      </c>
      <c r="AZ12" s="137">
        <f t="shared" si="1"/>
        <v>2262</v>
      </c>
      <c r="BA12" s="137">
        <f t="shared" si="1"/>
        <v>1887</v>
      </c>
      <c r="BB12" s="137">
        <f t="shared" si="1"/>
        <v>3691</v>
      </c>
      <c r="BC12" s="135">
        <f>IF(ISNUMBER(X12),X12," - ")</f>
        <v>462</v>
      </c>
      <c r="BD12" s="136">
        <f t="shared" si="2"/>
        <v>0.83421750663129979</v>
      </c>
      <c r="BE12" s="137">
        <f t="shared" si="3"/>
        <v>1.9560148383677796</v>
      </c>
      <c r="BF12" s="137">
        <f t="shared" si="4"/>
        <v>0.24483306836248012</v>
      </c>
      <c r="BG12" s="209">
        <f t="shared" si="5"/>
        <v>3.0710121886592474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3198</v>
      </c>
      <c r="J14" s="197">
        <f t="shared" si="7"/>
        <v>1591</v>
      </c>
      <c r="K14" s="197">
        <f t="shared" si="7"/>
        <v>1497</v>
      </c>
      <c r="L14" s="197">
        <f t="shared" si="7"/>
        <v>3292</v>
      </c>
      <c r="M14" s="197">
        <f t="shared" si="7"/>
        <v>717</v>
      </c>
      <c r="N14" s="197">
        <f t="shared" si="7"/>
        <v>502</v>
      </c>
      <c r="O14" s="197">
        <f t="shared" si="7"/>
        <v>662</v>
      </c>
      <c r="P14" s="197">
        <f t="shared" si="7"/>
        <v>540</v>
      </c>
      <c r="Q14" s="197">
        <f t="shared" si="7"/>
        <v>325</v>
      </c>
      <c r="R14" s="197">
        <f t="shared" si="7"/>
        <v>5531</v>
      </c>
      <c r="S14" s="197">
        <f t="shared" si="7"/>
        <v>3401</v>
      </c>
      <c r="T14" s="197">
        <f t="shared" si="7"/>
        <v>2049</v>
      </c>
      <c r="U14" s="197">
        <f t="shared" si="7"/>
        <v>1692</v>
      </c>
      <c r="V14" s="197">
        <f t="shared" si="7"/>
        <v>3551</v>
      </c>
      <c r="W14" s="197">
        <f t="shared" si="7"/>
        <v>804</v>
      </c>
      <c r="X14" s="197">
        <f t="shared" si="7"/>
        <v>464</v>
      </c>
      <c r="Y14" s="197">
        <f t="shared" si="7"/>
        <v>189</v>
      </c>
      <c r="Z14" s="197">
        <f t="shared" si="7"/>
        <v>252</v>
      </c>
      <c r="AA14" s="197">
        <f t="shared" si="7"/>
        <v>239</v>
      </c>
      <c r="AB14" s="197">
        <f t="shared" si="7"/>
        <v>202</v>
      </c>
      <c r="AC14" s="197">
        <f t="shared" si="7"/>
        <v>0</v>
      </c>
      <c r="AD14" s="197">
        <f t="shared" si="7"/>
        <v>0</v>
      </c>
      <c r="AE14" s="197">
        <f t="shared" si="7"/>
        <v>0</v>
      </c>
      <c r="AF14" s="197">
        <f>SUBTOTAL(9,AF9:AF13)</f>
        <v>0</v>
      </c>
      <c r="AG14" s="197">
        <f t="shared" ref="AG14:AT14" si="8">SUBTOTAL(9,AG8:AG13)</f>
        <v>163</v>
      </c>
      <c r="AH14" s="197">
        <f t="shared" si="8"/>
        <v>224</v>
      </c>
      <c r="AI14" s="197">
        <f t="shared" si="8"/>
        <v>205</v>
      </c>
      <c r="AJ14" s="197">
        <f t="shared" si="8"/>
        <v>172</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3564</v>
      </c>
      <c r="AZ14" s="197">
        <f>SUBTOTAL(9,AZ8:AZ13)</f>
        <v>2273</v>
      </c>
      <c r="BA14" s="197">
        <f>SUBTOTAL(9,BA8:BA13)</f>
        <v>1897</v>
      </c>
      <c r="BB14" s="197">
        <f>SUBTOTAL(9,BB8:BB13)</f>
        <v>3723</v>
      </c>
      <c r="BC14" s="197">
        <f>SUBTOTAL(9,BC8:BC13)</f>
        <v>467</v>
      </c>
      <c r="BD14" s="219">
        <f>IF(ISNUMBER(BA14/AZ14),BA14/AZ14," - ")</f>
        <v>0.8345798504179498</v>
      </c>
      <c r="BE14" s="220">
        <f>IF(ISNUMBER(BB14/BA14),BB14/BA14, " - ")</f>
        <v>1.9625724828676858</v>
      </c>
      <c r="BF14" s="220">
        <f>IF(ISNUMBER(BC14/BA14),BC14/BA14, " - ")</f>
        <v>0.24617817606747497</v>
      </c>
      <c r="BG14" s="221">
        <f>IF(ISNUMBER((AY14+AZ14)/BA14),(AY14+AZ14)/BA14," - ")</f>
        <v>3.0769636267791247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1446</v>
      </c>
      <c r="J17" s="196">
        <v>1303</v>
      </c>
      <c r="K17" s="196">
        <v>1343</v>
      </c>
      <c r="L17" s="196">
        <v>1427</v>
      </c>
      <c r="M17" s="196">
        <v>237</v>
      </c>
      <c r="N17" s="196">
        <v>750</v>
      </c>
      <c r="O17" s="194">
        <v>12</v>
      </c>
      <c r="P17" s="196">
        <v>91</v>
      </c>
      <c r="Q17" s="196">
        <v>76</v>
      </c>
      <c r="R17" s="196">
        <v>246</v>
      </c>
      <c r="S17" s="196">
        <v>1633</v>
      </c>
      <c r="T17" s="196">
        <v>1447</v>
      </c>
      <c r="U17" s="196">
        <v>1393</v>
      </c>
      <c r="V17" s="196">
        <v>1692</v>
      </c>
      <c r="W17" s="196">
        <v>213</v>
      </c>
      <c r="X17" s="202">
        <v>760</v>
      </c>
      <c r="Y17" s="215">
        <v>0</v>
      </c>
      <c r="Z17" s="196">
        <v>0</v>
      </c>
      <c r="AA17" s="196">
        <v>0</v>
      </c>
      <c r="AB17" s="196">
        <v>0</v>
      </c>
      <c r="AC17" s="196">
        <v>1</v>
      </c>
      <c r="AD17" s="196">
        <v>13</v>
      </c>
      <c r="AE17" s="196">
        <v>13</v>
      </c>
      <c r="AF17" s="202">
        <v>1</v>
      </c>
      <c r="AG17" s="215">
        <v>0</v>
      </c>
      <c r="AH17" s="196">
        <v>0</v>
      </c>
      <c r="AI17" s="196">
        <v>0</v>
      </c>
      <c r="AJ17" s="216">
        <v>0</v>
      </c>
      <c r="AK17" s="195">
        <v>0</v>
      </c>
      <c r="AL17" s="196">
        <v>15</v>
      </c>
      <c r="AM17" s="196">
        <v>15</v>
      </c>
      <c r="AN17" s="202">
        <v>0</v>
      </c>
      <c r="AO17" s="283">
        <v>7</v>
      </c>
      <c r="AP17" s="168">
        <v>7</v>
      </c>
      <c r="AQ17" s="168">
        <v>7</v>
      </c>
      <c r="AR17" s="168">
        <v>7</v>
      </c>
      <c r="AS17" s="381" t="s">
        <v>650</v>
      </c>
      <c r="AT17" s="216"/>
      <c r="AU17" s="215"/>
      <c r="AV17" s="216"/>
      <c r="AW17" s="215"/>
      <c r="AX17" s="216"/>
      <c r="AY17" s="136">
        <f t="shared" si="10"/>
        <v>1633</v>
      </c>
      <c r="AZ17" s="137">
        <f t="shared" si="10"/>
        <v>1447</v>
      </c>
      <c r="BA17" s="137">
        <f t="shared" si="10"/>
        <v>1393</v>
      </c>
      <c r="BB17" s="137">
        <f t="shared" si="10"/>
        <v>1692</v>
      </c>
      <c r="BC17" s="135">
        <f>IF(ISNUMBER(W17),W17," - ")</f>
        <v>213</v>
      </c>
      <c r="BD17" s="136">
        <f t="shared" ref="BD17:BD22" si="12">IF(ISNUMBER(BA17/AZ17),BA17/AZ17," - ")</f>
        <v>0.962681409813407</v>
      </c>
      <c r="BE17" s="137">
        <f t="shared" ref="BE17:BE22" si="13">IF(ISNUMBER(BB17/BA17),BB17/BA17, " - ")</f>
        <v>1.2146446518305816</v>
      </c>
      <c r="BF17" s="137">
        <f t="shared" ref="BF17:BF22" si="14">IF(ISNUMBER(BC17/BA17),BC17/BA17, " - ")</f>
        <v>0.15290739411342427</v>
      </c>
      <c r="BG17" s="209">
        <f t="shared" si="11"/>
        <v>2.2110552763819094</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99</v>
      </c>
      <c r="J18" s="196">
        <v>201</v>
      </c>
      <c r="K18" s="196">
        <v>178</v>
      </c>
      <c r="L18" s="196">
        <v>122</v>
      </c>
      <c r="M18" s="196">
        <v>33</v>
      </c>
      <c r="N18" s="196">
        <v>102</v>
      </c>
      <c r="O18" s="196">
        <v>0</v>
      </c>
      <c r="P18" s="196">
        <v>2</v>
      </c>
      <c r="Q18" s="196">
        <v>0</v>
      </c>
      <c r="R18" s="196">
        <v>11</v>
      </c>
      <c r="S18" s="196">
        <v>92</v>
      </c>
      <c r="T18" s="196">
        <v>119</v>
      </c>
      <c r="U18" s="196">
        <v>111</v>
      </c>
      <c r="V18" s="196">
        <v>100</v>
      </c>
      <c r="W18" s="196">
        <v>15</v>
      </c>
      <c r="X18" s="202">
        <v>53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1065</v>
      </c>
      <c r="AT18" s="223"/>
      <c r="AU18" s="213"/>
      <c r="AV18" s="223"/>
      <c r="AW18" s="213"/>
      <c r="AX18" s="223"/>
      <c r="AY18" s="138">
        <f t="shared" ref="AY18:BB19" si="15">IF(ISNUMBER(S18),S18," - ")</f>
        <v>92</v>
      </c>
      <c r="AZ18" s="139">
        <f t="shared" si="15"/>
        <v>119</v>
      </c>
      <c r="BA18" s="139">
        <f t="shared" si="15"/>
        <v>111</v>
      </c>
      <c r="BB18" s="139">
        <f t="shared" si="15"/>
        <v>100</v>
      </c>
      <c r="BC18" s="135">
        <f>IF(ISNUMBER(W18),W18," - ")</f>
        <v>15</v>
      </c>
      <c r="BD18" s="136">
        <f>IF(ISNUMBER(BA18/AZ18),BA18/AZ18," - ")</f>
        <v>0.9327731092436975</v>
      </c>
      <c r="BE18" s="137">
        <f>IF(ISNUMBER(BB18/BA18),BB18/BA18, " - ")</f>
        <v>0.90090090090090091</v>
      </c>
      <c r="BF18" s="137">
        <f>IF(ISNUMBER(BC18/BA18),BC18/BA18, " - ")</f>
        <v>0.13513513513513514</v>
      </c>
      <c r="BG18" s="209">
        <f>IF(ISNUMBER((AY18+AZ18)/BA18),(AY18+AZ18)/BA18," - ")</f>
        <v>1.9009009009009008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1545</v>
      </c>
      <c r="J23" s="197">
        <f t="shared" si="21"/>
        <v>1504</v>
      </c>
      <c r="K23" s="197">
        <f t="shared" si="21"/>
        <v>1521</v>
      </c>
      <c r="L23" s="197">
        <f t="shared" si="21"/>
        <v>1549</v>
      </c>
      <c r="M23" s="197">
        <f t="shared" si="21"/>
        <v>270</v>
      </c>
      <c r="N23" s="197">
        <f t="shared" si="21"/>
        <v>852</v>
      </c>
      <c r="O23" s="197">
        <f t="shared" si="21"/>
        <v>12</v>
      </c>
      <c r="P23" s="197">
        <f t="shared" si="21"/>
        <v>93</v>
      </c>
      <c r="Q23" s="197">
        <f t="shared" si="21"/>
        <v>76</v>
      </c>
      <c r="R23" s="197">
        <f t="shared" si="21"/>
        <v>257</v>
      </c>
      <c r="S23" s="197">
        <f t="shared" si="21"/>
        <v>1725</v>
      </c>
      <c r="T23" s="197">
        <f t="shared" si="21"/>
        <v>1566</v>
      </c>
      <c r="U23" s="197">
        <f t="shared" si="21"/>
        <v>1504</v>
      </c>
      <c r="V23" s="197">
        <f t="shared" si="21"/>
        <v>1792</v>
      </c>
      <c r="W23" s="197">
        <f t="shared" si="21"/>
        <v>228</v>
      </c>
      <c r="X23" s="197">
        <f t="shared" si="21"/>
        <v>813</v>
      </c>
      <c r="Y23" s="197">
        <f t="shared" si="21"/>
        <v>0</v>
      </c>
      <c r="Z23" s="197">
        <f t="shared" si="21"/>
        <v>0</v>
      </c>
      <c r="AA23" s="197">
        <f t="shared" si="21"/>
        <v>0</v>
      </c>
      <c r="AB23" s="197">
        <f t="shared" si="21"/>
        <v>0</v>
      </c>
      <c r="AC23" s="197">
        <f t="shared" si="21"/>
        <v>1</v>
      </c>
      <c r="AD23" s="197">
        <f t="shared" si="21"/>
        <v>13</v>
      </c>
      <c r="AE23" s="197">
        <f t="shared" si="21"/>
        <v>13</v>
      </c>
      <c r="AF23" s="197">
        <f t="shared" si="21"/>
        <v>1</v>
      </c>
      <c r="AG23" s="197">
        <f t="shared" si="21"/>
        <v>0</v>
      </c>
      <c r="AH23" s="197">
        <f t="shared" si="21"/>
        <v>0</v>
      </c>
      <c r="AI23" s="197">
        <f t="shared" si="21"/>
        <v>0</v>
      </c>
      <c r="AJ23" s="197">
        <f t="shared" si="21"/>
        <v>0</v>
      </c>
      <c r="AK23" s="197">
        <f t="shared" si="21"/>
        <v>0</v>
      </c>
      <c r="AL23" s="197">
        <f t="shared" si="21"/>
        <v>15</v>
      </c>
      <c r="AM23" s="197">
        <f t="shared" si="21"/>
        <v>15</v>
      </c>
      <c r="AN23" s="197">
        <f t="shared" si="21"/>
        <v>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1725</v>
      </c>
      <c r="AZ23" s="197">
        <f>SUBTOTAL(9,AZ15:AZ22)</f>
        <v>1566</v>
      </c>
      <c r="BA23" s="197">
        <f>SUBTOTAL(9,BA15:BA22)</f>
        <v>1504</v>
      </c>
      <c r="BB23" s="197">
        <f>SUBTOTAL(9,BB15:BB22)</f>
        <v>1792</v>
      </c>
      <c r="BC23" s="197">
        <f>SUBTOTAL(9,BC15:BC22)</f>
        <v>228</v>
      </c>
      <c r="BD23" s="219">
        <f>IF(ISNUMBER(BA23/AZ23),BA23/AZ23," - ")</f>
        <v>0.96040868454661554</v>
      </c>
      <c r="BE23" s="220">
        <f>IF(ISNUMBER(BB23/BA23),BB23/BA23, " - ")</f>
        <v>1.1914893617021276</v>
      </c>
      <c r="BF23" s="220">
        <f>IF(ISNUMBER(BC23/BA23),BC23/BA23, " - ")</f>
        <v>0.15159574468085107</v>
      </c>
      <c r="BG23" s="221">
        <f>IF(ISNUMBER((AY23+AZ23)/BA23),(AY23+AZ23)/BA23," - ")</f>
        <v>2.1881648936170213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4743</v>
      </c>
      <c r="J31" s="144">
        <f t="shared" si="36"/>
        <v>3095</v>
      </c>
      <c r="K31" s="144">
        <f t="shared" si="36"/>
        <v>3018</v>
      </c>
      <c r="L31" s="144">
        <f t="shared" si="36"/>
        <v>4841</v>
      </c>
      <c r="M31" s="144">
        <f t="shared" si="36"/>
        <v>987</v>
      </c>
      <c r="N31" s="144">
        <f t="shared" si="36"/>
        <v>1354</v>
      </c>
      <c r="O31" s="144">
        <f t="shared" si="36"/>
        <v>674</v>
      </c>
      <c r="P31" s="144">
        <f t="shared" si="36"/>
        <v>633</v>
      </c>
      <c r="Q31" s="144">
        <f t="shared" si="36"/>
        <v>401</v>
      </c>
      <c r="R31" s="144">
        <f t="shared" si="36"/>
        <v>5788</v>
      </c>
      <c r="S31" s="144">
        <f t="shared" si="36"/>
        <v>5126</v>
      </c>
      <c r="T31" s="144">
        <f t="shared" si="36"/>
        <v>3615</v>
      </c>
      <c r="U31" s="144">
        <f t="shared" si="36"/>
        <v>3196</v>
      </c>
      <c r="V31" s="144">
        <f t="shared" si="36"/>
        <v>5343</v>
      </c>
      <c r="W31" s="144">
        <f t="shared" si="36"/>
        <v>1032</v>
      </c>
      <c r="X31" s="144">
        <f t="shared" si="36"/>
        <v>1277</v>
      </c>
      <c r="Y31" s="144">
        <f t="shared" si="36"/>
        <v>189</v>
      </c>
      <c r="Z31" s="144">
        <f t="shared" si="36"/>
        <v>252</v>
      </c>
      <c r="AA31" s="144">
        <f t="shared" si="36"/>
        <v>239</v>
      </c>
      <c r="AB31" s="144">
        <f t="shared" si="36"/>
        <v>202</v>
      </c>
      <c r="AC31" s="144">
        <f t="shared" si="36"/>
        <v>1</v>
      </c>
      <c r="AD31" s="144">
        <f t="shared" si="36"/>
        <v>13</v>
      </c>
      <c r="AE31" s="144">
        <f t="shared" si="36"/>
        <v>13</v>
      </c>
      <c r="AF31" s="144">
        <f t="shared" si="36"/>
        <v>1</v>
      </c>
      <c r="AG31" s="144">
        <f t="shared" si="36"/>
        <v>163</v>
      </c>
      <c r="AH31" s="144">
        <f t="shared" si="36"/>
        <v>224</v>
      </c>
      <c r="AI31" s="144">
        <f t="shared" si="36"/>
        <v>205</v>
      </c>
      <c r="AJ31" s="144">
        <f t="shared" si="36"/>
        <v>172</v>
      </c>
      <c r="AK31" s="144">
        <f t="shared" si="36"/>
        <v>0</v>
      </c>
      <c r="AL31" s="144">
        <f t="shared" si="36"/>
        <v>15</v>
      </c>
      <c r="AM31" s="144">
        <f t="shared" si="36"/>
        <v>15</v>
      </c>
      <c r="AN31" s="224">
        <f t="shared" si="36"/>
        <v>0</v>
      </c>
      <c r="AO31" s="225">
        <v>9</v>
      </c>
      <c r="AP31" s="225">
        <v>8</v>
      </c>
      <c r="AQ31" s="225">
        <v>8</v>
      </c>
      <c r="AR31" s="225">
        <v>8</v>
      </c>
      <c r="AS31" s="166">
        <f t="shared" si="36"/>
        <v>0</v>
      </c>
      <c r="AT31" s="166">
        <f t="shared" si="36"/>
        <v>0</v>
      </c>
      <c r="AU31" s="225"/>
      <c r="AV31" s="226"/>
      <c r="AW31" s="225"/>
      <c r="AX31" s="226"/>
      <c r="AY31" s="143">
        <f>SUBTOTAL(9,AY9:AY30)</f>
        <v>5289</v>
      </c>
      <c r="AZ31" s="144">
        <f>SUBTOTAL(9,AZ9:AZ30)</f>
        <v>3839</v>
      </c>
      <c r="BA31" s="144">
        <f>SUBTOTAL(9,BA9:BA30)</f>
        <v>3401</v>
      </c>
      <c r="BB31" s="144">
        <f>SUBTOTAL(9,BB9:BB30)</f>
        <v>5515</v>
      </c>
      <c r="BC31" s="145">
        <f>SUBTOTAL(9,BC9:BC30)</f>
        <v>695</v>
      </c>
      <c r="BD31" s="227">
        <f>IF(ISNUMBER(BA31/AZ31),BA31/AZ31," - ")</f>
        <v>0.88590778848658502</v>
      </c>
      <c r="BE31" s="224">
        <f>IF(ISNUMBER(BB31/BA31),BB31/BA31, " - ")</f>
        <v>1.621581887680094</v>
      </c>
      <c r="BF31" s="224">
        <f>IF(ISNUMBER(BC31/BA31),BC31/BA31, " - ")</f>
        <v>0.20435166127609528</v>
      </c>
      <c r="BG31" s="145">
        <f>IF(ISNUMBER((AY31+AZ31)/BA31),(AY31+AZ31)/BA31," - ")</f>
        <v>2.6839164951484857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PW6FLt5wCC5Gip6oOt/aUNRQeKxMZpwxQ//7hvSz6dp0hU0gz2Vikexcp5ZZJAohH8eHpKZ+LWB/ZJEvthWDg==" saltValue="azH22VW/7ZRbjwzaXMt6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c1eKaKUUqFTKMKlw/F+4Z7LgMgjreR33u1D3eKk2FVkiBIRqfFALJPRrAhVxN426tbKbBnpXPlbSBzlQa1fpQ==" saltValue="IP+JNhasSZj6u3O+EsWm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CACERES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1</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11</v>
      </c>
      <c r="AD10" s="549"/>
      <c r="AE10" s="563"/>
      <c r="AF10" s="551">
        <f>IF(ISNUMBER(Datos!L10),Datos!L10,"-")</f>
        <v>34</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12</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5.666666666666667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-0.57894736842105265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252</v>
      </c>
      <c r="O12" s="549"/>
      <c r="P12" s="549"/>
      <c r="Q12" s="547">
        <f>IF(ISNUMBER(Datos!P12),Datos!P12,0)</f>
        <v>540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202</v>
      </c>
      <c r="AI12" s="549" t="str">
        <f>IF(ISNUMBER(Datos!CD12),Datos!CD12,"-")</f>
        <v>-</v>
      </c>
      <c r="AJ12" s="549" t="str">
        <f>IF(ISNUMBER(Datos!EN12),Datos!EN12," - ")</f>
        <v xml:space="preserve"> - </v>
      </c>
      <c r="AK12" s="549"/>
      <c r="AL12" s="550"/>
      <c r="AM12" s="766">
        <f>IF(ISNUMBER(Datos!R12),Datos!R12," - ")</f>
        <v>5523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711</v>
      </c>
      <c r="BD12" s="693">
        <f>IF(ISNUMBER(Datos!N12),Datos!N12," - ")</f>
        <v>490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0.94447498625618476</v>
      </c>
      <c r="BH12" s="764">
        <f>IF(ISNUMBER(((IF(J_V="SI",Datos!L12/Datos!K12,(Datos!L12+Datos!AB12)/(Datos!K12+Datos!AA12)))*11)/factor_trimestre),((IF(J_V="SI",Datos!L12/Datos!K12,(Datos!L12+Datos!AB12)/(Datos!K12+Datos!AA12)))*11)/factor_trimestre," - ")</f>
        <v>6.0419091967403959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4.2665659807438173E-2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252</v>
      </c>
      <c r="O14" s="1199">
        <f t="shared" si="1"/>
        <v>0</v>
      </c>
      <c r="P14" s="1199">
        <f t="shared" si="1"/>
        <v>0</v>
      </c>
      <c r="Q14" s="1198">
        <f t="shared" si="1"/>
        <v>540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325</v>
      </c>
      <c r="AD14" s="1198">
        <f t="shared" si="2"/>
        <v>0</v>
      </c>
      <c r="AE14" s="1198">
        <f t="shared" si="2"/>
        <v>0</v>
      </c>
      <c r="AF14" s="1198">
        <f t="shared" si="2"/>
        <v>34</v>
      </c>
      <c r="AG14" s="1198">
        <f t="shared" si="2"/>
        <v>0</v>
      </c>
      <c r="AH14" s="1198">
        <f t="shared" si="2"/>
        <v>202</v>
      </c>
      <c r="AI14" s="1198">
        <f t="shared" si="2"/>
        <v>0</v>
      </c>
      <c r="AJ14" s="1198">
        <f t="shared" si="2"/>
        <v>0</v>
      </c>
      <c r="AK14" s="1198">
        <f t="shared" si="2"/>
        <v>0</v>
      </c>
      <c r="AL14" s="1198">
        <f t="shared" si="2"/>
        <v>0</v>
      </c>
      <c r="AM14" s="1198">
        <f t="shared" si="2"/>
        <v>5531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717</v>
      </c>
      <c r="BD14" s="1198">
        <f t="shared" si="2"/>
        <v>502</v>
      </c>
      <c r="BE14" s="1198">
        <f t="shared" si="2"/>
        <v>0</v>
      </c>
      <c r="BF14" s="1198">
        <f t="shared" si="2"/>
        <v>0</v>
      </c>
      <c r="BG14" s="1198">
        <f>IF(ISNUMBER(Datos!K14/Datos!J14),Datos!K14/Datos!J14," - ")</f>
        <v>0.94091766184789438</v>
      </c>
      <c r="BH14" s="1202">
        <f>IF(ISNUMBER(((Datos!L14/Datos!K14)*11)/factor_trimestre),((Datos!L14/Datos!K14)*11)/factor_trimestre," - ")</f>
        <v>6.5971943887775559</v>
      </c>
      <c r="BI14" s="1198">
        <f>IF(ISNUMBER('Resol  Asuntos'!D14/NºAsuntos!G14),'Resol  Asuntos'!D14/NºAsuntos!G14," - ")</f>
        <v>0.41301843317972348</v>
      </c>
      <c r="BJ14" s="1198" t="str">
        <f>IF(ISNUMBER(Datos!CI14/Datos!CJ14),Datos!CI14/Datos!CJ14," - ")</f>
        <v xml:space="preserve"> - </v>
      </c>
      <c r="BK14" s="1198">
        <f>SUBTOTAL(9,BK8:BK13)</f>
        <v>0</v>
      </c>
      <c r="BL14" s="1198">
        <f>IF(ISNUMBER((I14-AB14+L14)/(F14)),(I14-AB14+L14)/(F14)," - ")</f>
        <v>-0.6428571428571429</v>
      </c>
      <c r="BM14" s="1203">
        <f>SUBTOTAL(9,BM9:BM13)</f>
        <v>-0.53628170861361446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1467</v>
      </c>
      <c r="G17" s="743">
        <f>IF(ISNUMBER(IF(D_I="SI",Datos!I17,Datos!I17+Datos!AC17)),IF(D_I="SI",Datos!I17,Datos!I17+Datos!AC17)," - ")</f>
        <v>1446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1343</v>
      </c>
      <c r="AC17" s="240">
        <f>IF(ISNUMBER(Datos!Q17),Datos!Q17," - ")</f>
        <v>76</v>
      </c>
      <c r="AD17" s="374"/>
      <c r="AE17" s="562"/>
      <c r="AF17" s="741">
        <f>IF(ISNUMBER(IF(D_I="SI",Datos!L17,Datos!L17+Datos!AF17)),IF(D_I="SI",Datos!L17,Datos!L17+Datos!AF17)," - ")</f>
        <v>1427</v>
      </c>
      <c r="AG17" s="374"/>
      <c r="AH17" s="374"/>
      <c r="AI17" s="374"/>
      <c r="AJ17" s="549"/>
      <c r="AK17" s="374"/>
      <c r="AL17" s="545"/>
      <c r="AM17" s="375">
        <f>IF(ISNUMBER(Datos!R17),Datos!R17," - ")</f>
        <v>246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750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1.0306983883346124</v>
      </c>
      <c r="BH17" s="764">
        <f>IF(ISNUMBER(((IF(D_I="SI",Datos!L17/Datos!K17,(Datos!L17+Datos!AF17)/(Datos!K17+Datos!AE17)))*11)/factor_trimestre),((IF(D_I="SI",Datos!L17/Datos!K17,(Datos!L17+Datos!AF17)/(Datos!K17+Datos!AE17)))*11)/factor_trimestre," - ")</f>
        <v>3.1876396128071485</v>
      </c>
      <c r="BI17" s="266">
        <f>IF(ISNUMBER('Resol  Asuntos'!D17/NºAsuntos!G17),'Resol  Asuntos'!D17/NºAsuntos!G17," - ")</f>
        <v>0.17647058823529413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99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178</v>
      </c>
      <c r="AC18" s="547">
        <f>IF(ISNUMBER(Datos!Q18),Datos!Q18," - ")</f>
        <v>0</v>
      </c>
      <c r="AD18" s="549"/>
      <c r="AE18" s="562"/>
      <c r="AF18" s="551">
        <f>IF(ISNUMBER(Datos!L18),Datos!L18,"-")</f>
        <v>122</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33</v>
      </c>
      <c r="BD18" s="693">
        <f>IF(ISNUMBER(Datos!N18),Datos!N18," - ")</f>
        <v>102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0.88557213930348255</v>
      </c>
      <c r="BH18" s="764">
        <f>IF(ISNUMBER(((IF(D_I="SI",Datos!L18/Datos!K18,(Datos!L18+Datos!AF18)/(Datos!K18+Datos!AE18)))*11)/factor_trimestre),((IF(D_I="SI",Datos!L18/Datos!K18,(Datos!L18+Datos!AF18)/(Datos!K18+Datos!AE18)))*11)/factor_trimestre," - ")</f>
        <v>2.0561797752808992</v>
      </c>
      <c r="BI18" s="763">
        <f>IF(ISNUMBER('Resol  Asuntos'!D18/NºAsuntos!G18),'Resol  Asuntos'!D18/NºAsuntos!G18," - ")</f>
        <v>0.1853932584269663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1467</v>
      </c>
      <c r="G23" s="1197">
        <f>SUBTOTAL(9,G16:G22)</f>
        <v>1545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1521</v>
      </c>
      <c r="AC23" s="1198">
        <f t="shared" si="5"/>
        <v>76</v>
      </c>
      <c r="AD23" s="1198">
        <f t="shared" si="5"/>
        <v>0</v>
      </c>
      <c r="AE23" s="1198">
        <f t="shared" si="5"/>
        <v>0</v>
      </c>
      <c r="AF23" s="1198">
        <f t="shared" si="5"/>
        <v>1549</v>
      </c>
      <c r="AG23" s="1198">
        <f t="shared" si="5"/>
        <v>0</v>
      </c>
      <c r="AH23" s="1198">
        <f t="shared" si="5"/>
        <v>0</v>
      </c>
      <c r="AI23" s="1198">
        <f t="shared" si="5"/>
        <v>0</v>
      </c>
      <c r="AJ23" s="1198">
        <f t="shared" si="5"/>
        <v>0</v>
      </c>
      <c r="AK23" s="1198">
        <f t="shared" si="5"/>
        <v>0</v>
      </c>
      <c r="AL23" s="1198">
        <f t="shared" si="5"/>
        <v>0</v>
      </c>
      <c r="AM23" s="1198">
        <f t="shared" si="5"/>
        <v>257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270</v>
      </c>
      <c r="BD23" s="1198">
        <f t="shared" si="5"/>
        <v>852</v>
      </c>
      <c r="BE23" s="1198">
        <f t="shared" si="5"/>
        <v>0</v>
      </c>
      <c r="BF23" s="1198">
        <f t="shared" si="5"/>
        <v>0</v>
      </c>
      <c r="BG23" s="1198">
        <f>IF(ISNUMBER(Datos!K23/Datos!J23),Datos!K23/Datos!J23," - ")</f>
        <v>1.0113031914893618</v>
      </c>
      <c r="BH23" s="1202">
        <f>IF(ISNUMBER(((Datos!L23/Datos!K23)*11)/factor_trimestre),((Datos!L23/Datos!K23)*11)/factor_trimestre," - ")</f>
        <v>3.0552268244575935</v>
      </c>
      <c r="BI23" s="1198">
        <f>SUBTOTAL(9,BI16:BI22)</f>
        <v>0.36186384666226046</v>
      </c>
      <c r="BJ23" s="1198">
        <f>SUBTOTAL(9,BJ16:BJ22)</f>
        <v>0</v>
      </c>
      <c r="BK23" s="1198">
        <f>SUBTOTAL(9,BK16:BK22)</f>
        <v>0</v>
      </c>
      <c r="BL23" s="1198">
        <f>IF(ISNUMBER((I23-AB23+L23)/(F23)),(I23-AB23+L23)/(F23)," - ")</f>
        <v>-1.0368098159509203</v>
      </c>
      <c r="BM23" s="1205">
        <f>IF(ISNUMBER((Datos!P23-Datos!Q23)/(Datos!R23-Datos!P23+Datos!Q23)),(Datos!P23-Datos!Q23)/(Datos!R23-Datos!P23+Datos!Q23)," - ")</f>
        <v>7.0833333333333331E-2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1495</v>
      </c>
      <c r="G31" s="1117">
        <f t="shared" si="18"/>
        <v>1573</v>
      </c>
      <c r="H31" s="1119">
        <f t="shared" si="18"/>
        <v>0</v>
      </c>
      <c r="I31" s="1117">
        <f t="shared" si="18"/>
        <v>0</v>
      </c>
      <c r="J31" s="1119">
        <f t="shared" si="18"/>
        <v>0</v>
      </c>
      <c r="K31" s="1119">
        <f t="shared" si="18"/>
        <v>0</v>
      </c>
      <c r="L31" s="1180">
        <f t="shared" si="18"/>
        <v>0</v>
      </c>
      <c r="M31" s="1180">
        <f t="shared" si="18"/>
        <v>0</v>
      </c>
      <c r="N31" s="1180">
        <f t="shared" si="18"/>
        <v>252</v>
      </c>
      <c r="O31" s="1180">
        <f t="shared" si="18"/>
        <v>0</v>
      </c>
      <c r="P31" s="1180">
        <f t="shared" si="18"/>
        <v>0</v>
      </c>
      <c r="Q31" s="1119">
        <f t="shared" si="18"/>
        <v>633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1539</v>
      </c>
      <c r="AC31" s="1118">
        <f t="shared" si="19"/>
        <v>401</v>
      </c>
      <c r="AD31" s="1118">
        <f t="shared" si="19"/>
        <v>0</v>
      </c>
      <c r="AE31" s="1118">
        <f t="shared" si="19"/>
        <v>0</v>
      </c>
      <c r="AF31" s="1125">
        <f t="shared" si="19"/>
        <v>1583</v>
      </c>
      <c r="AG31" s="1125">
        <f t="shared" si="19"/>
        <v>0</v>
      </c>
      <c r="AH31" s="1125">
        <f t="shared" si="19"/>
        <v>202</v>
      </c>
      <c r="AI31" s="1125">
        <f t="shared" si="19"/>
        <v>0</v>
      </c>
      <c r="AJ31" s="1118">
        <f t="shared" si="19"/>
        <v>0</v>
      </c>
      <c r="AK31" s="1125">
        <f t="shared" si="19"/>
        <v>0</v>
      </c>
      <c r="AL31" s="1125">
        <f t="shared" si="19"/>
        <v>0</v>
      </c>
      <c r="AM31" s="1125">
        <f t="shared" si="19"/>
        <v>5788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987</v>
      </c>
      <c r="BD31" s="1117">
        <f t="shared" si="19"/>
        <v>1354</v>
      </c>
      <c r="BE31" s="1117">
        <f t="shared" si="19"/>
        <v>0</v>
      </c>
      <c r="BF31" s="1127">
        <f t="shared" si="19"/>
        <v>0</v>
      </c>
      <c r="BG31" s="1223">
        <f>IF(ISNUMBER(Datos!K31/Datos!J31),Datos!K31/Datos!J31," - ")</f>
        <v>0.97512116316639741</v>
      </c>
      <c r="BH31" s="1223">
        <f>IF(ISNUMBER(((Datos!L31/Datos!K31)*11)/factor_trimestre),((Datos!L31/Datos!K31)*11)/factor_trimestre," - ")</f>
        <v>4.8121272365805172</v>
      </c>
      <c r="BI31" s="1103">
        <f>IF(ISNUMBER(Datos!J31/Datos!I31),Datos!J31/Datos!I31," - ")</f>
        <v>0.65254058612692389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-1.0294314381270904</v>
      </c>
      <c r="BM31" s="1188">
        <f>IF(ISNUMBER((Datos!P31-Datos!Q31+R31)/(Datos!R31-Datos!P31+Datos!Q31-R31)),(Datos!P31-Datos!Q31+R31)/(Datos!R31-Datos!P31+Datos!Q31-R31)," - ")</f>
        <v>4.1756659467242621E-2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449.42857142857144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750.43045425053651</v>
      </c>
      <c r="G33" s="674">
        <f>IF(ISNUMBER(STDEV(G8:G30)),STDEV(G8:G30),"-")</f>
        <v>715.93851159226824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682.63965952902618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307.69175205993787</v>
      </c>
      <c r="BD33" s="673"/>
      <c r="BE33" s="673">
        <f>IF(ISNUMBER(STDEV(BE8:BE30)),STDEV(BE8:BE30),"-")</f>
        <v>0</v>
      </c>
      <c r="BF33" s="678">
        <f>IF(ISNUMBER(STDEV(BF8:BF30)),STDEV(BF8:BF30),"-")</f>
        <v>0</v>
      </c>
      <c r="BG33" s="1052">
        <f>IF(ISNUMBER(STDEV(BG8:BG30)),STDEV(BG8:BG30),"-")</f>
        <v>0.10139484433843102</v>
      </c>
      <c r="BH33" s="1058">
        <f>IF(ISNUMBER(STDEV(BH8:BH30)),STDEV(BH8:BH30),"-")</f>
        <v>1.8917033411215236</v>
      </c>
      <c r="BI33" s="273">
        <f>IF(ISNUMBER(STDEV(BI8:BI30)),STDEV(BI8:BI30),"-")</f>
        <v>0.12109811369177664</v>
      </c>
      <c r="BJ33" s="244" t="str">
        <f>IF(ISNUMBER(BL33/BM33),BL33/BM33," - ")</f>
        <v xml:space="preserve"> - </v>
      </c>
      <c r="BK33" s="709"/>
      <c r="BL33" s="681">
        <f>IF(ISNUMBER(STDEV(BL8:BL30)),STDEV(BL8:BL30),"-")</f>
        <v>0.27856660661117655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8rR0bFHhlLEsDMB0wfrPF5+WjQIcvMOamL+LS7dq/tbcnBQTl4Bdp8fppEdxY5h56W/hSyFowmDFGbpG42Nig==" saltValue="NFbeE47sIgCYZPPRGdw07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CACERES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1</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11</v>
      </c>
      <c r="AA10" s="551">
        <f>IF(ISNUMBER(Datos!L10),Datos!L10,"-")</f>
        <v>34</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6</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5.666666666666667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-0.57894736842105265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540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314</v>
      </c>
      <c r="AA12" s="551" t="str">
        <f>IF(ISNUMBER(IF(J_V="SI",Datos!L12,Datos!L12+Datos!AB12)-IF(Monitorios="SI",Datos!CD12,0)),
                          IF(J_V="SI",Datos!L12,Datos!L12+Datos!AB12)-IF(Monitorios="SI",Datos!CD12,0),
                          " - ")</f>
        <v xml:space="preserve"> - </v>
      </c>
      <c r="AB12" s="549"/>
      <c r="AC12" s="549"/>
      <c r="AD12" s="563"/>
      <c r="AE12" s="563">
        <f>IF(ISNUMBER(Datos!R12),Datos!R12," - ")</f>
        <v>5523</v>
      </c>
      <c r="AF12" s="693" t="str">
        <f>IF(ISNUMBER(Datos!BV12),Datos!BV12," - ")</f>
        <v xml:space="preserve"> - </v>
      </c>
      <c r="AG12" s="552" t="str">
        <f>IF(ISNUMBER(Datos!DV12),Datos!DV12," - ")</f>
        <v xml:space="preserve"> - </v>
      </c>
      <c r="AH12" s="553"/>
      <c r="AI12" s="554"/>
      <c r="AJ12" s="552">
        <f>IF(ISNUMBER(Datos!M12),Datos!M12," - ")</f>
        <v>711</v>
      </c>
      <c r="AK12" s="693">
        <f>IF(ISNUMBER(Datos!N12),Datos!N12," - ")</f>
        <v>490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6.0419091967403959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4.2665659807438173E-2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540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325</v>
      </c>
      <c r="AA14" s="1199">
        <f t="shared" si="3"/>
        <v>34</v>
      </c>
      <c r="AB14" s="1199">
        <f t="shared" si="3"/>
        <v>0</v>
      </c>
      <c r="AC14" s="1199">
        <f t="shared" si="3"/>
        <v>0</v>
      </c>
      <c r="AD14" s="1199">
        <f t="shared" si="3"/>
        <v>0</v>
      </c>
      <c r="AE14" s="1199">
        <f t="shared" si="3"/>
        <v>5531</v>
      </c>
      <c r="AF14" s="1211">
        <f t="shared" si="3"/>
        <v>0</v>
      </c>
      <c r="AG14" s="1211">
        <f t="shared" si="3"/>
        <v>0</v>
      </c>
      <c r="AH14" s="1211">
        <f t="shared" si="3"/>
        <v>0</v>
      </c>
      <c r="AI14" s="1211">
        <f t="shared" si="3"/>
        <v>0</v>
      </c>
      <c r="AJ14" s="1211">
        <f t="shared" si="3"/>
        <v>717</v>
      </c>
      <c r="AK14" s="1211">
        <f t="shared" si="3"/>
        <v>502</v>
      </c>
      <c r="AL14" s="1211">
        <f t="shared" si="3"/>
        <v>0</v>
      </c>
      <c r="AM14" s="1211">
        <f t="shared" si="3"/>
        <v>0</v>
      </c>
      <c r="AN14" s="1211">
        <f t="shared" si="3"/>
        <v>0</v>
      </c>
      <c r="AO14" s="1203">
        <f>IF(ISNUMBER(((NºAsuntos!I14/NºAsuntos!G14)*11)/factor_trimestre),((NºAsuntos!I14/NºAsuntos!G14)*11)/factor_trimestre," - ")</f>
        <v>6.0380184331797233</v>
      </c>
      <c r="AP14" s="1213" t="str">
        <f>IF(ISNUMBER(Datos!CI14/Datos!CJ14),Datos!CI14/Datos!CJ14," - ")</f>
        <v xml:space="preserve"> - </v>
      </c>
      <c r="AQ14" s="1236">
        <f t="shared" ref="AQ14:AV14" si="4">SUBTOTAL(9,AQ9:AQ13)</f>
        <v>0</v>
      </c>
      <c r="AR14" s="1236">
        <f t="shared" si="4"/>
        <v>-0.53628170861361446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1467</v>
      </c>
      <c r="G17" s="552">
        <f>IF(ISNUMBER(IF(D_I="SI",Datos!I17,Datos!I17+Datos!AC17)),IF(D_I="SI",Datos!I17,Datos!I17+Datos!AC17)," - ")</f>
        <v>1446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1343</v>
      </c>
      <c r="Z17" s="805">
        <f>IF(ISNUMBER(Datos!Q17),Datos!Q17," - ")</f>
        <v>76</v>
      </c>
      <c r="AA17" s="551">
        <f>IF(ISNUMBER(IF(D_I="SI",Datos!L17,Datos!L17+Datos!AF17)),IF(D_I="SI",Datos!L17,Datos!L17+Datos!AF17)," - ")</f>
        <v>1427</v>
      </c>
      <c r="AB17" s="549"/>
      <c r="AC17" s="549"/>
      <c r="AD17" s="563"/>
      <c r="AE17" s="563">
        <f>IF(ISNUMBER(Datos!R17),Datos!R17," - ")</f>
        <v>246</v>
      </c>
      <c r="AF17" s="693" t="str">
        <f>IF(ISNUMBER(Datos!BV17),Datos!BV17," - ")</f>
        <v xml:space="preserve"> - </v>
      </c>
      <c r="AG17" s="552"/>
      <c r="AH17" s="553"/>
      <c r="AI17" s="554"/>
      <c r="AJ17" s="552">
        <f>IF(ISNUMBER(Datos!M17),Datos!M17," - ")</f>
        <v>237</v>
      </c>
      <c r="AK17" s="693">
        <f>IF(ISNUMBER(Datos!N17),Datos!N17," - ")</f>
        <v>750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3.1876396128071485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99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178</v>
      </c>
      <c r="Z18" s="805">
        <f>IF(ISNUMBER(Datos!Q18),Datos!Q18," - ")</f>
        <v>0</v>
      </c>
      <c r="AA18" s="551">
        <f>IF(ISNUMBER(Datos!L18),Datos!L18,"-")</f>
        <v>122</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33</v>
      </c>
      <c r="AK18" s="693">
        <f>IF(ISNUMBER(Datos!N18),Datos!N18," - ")</f>
        <v>102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2.0561797752808992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1467</v>
      </c>
      <c r="G23" s="1197">
        <f>SUBTOTAL(9,G16:G22)</f>
        <v>1545</v>
      </c>
      <c r="H23" s="1240">
        <f>SUBTOTAL(9,H16:H22)</f>
        <v>0</v>
      </c>
      <c r="I23" s="1217">
        <f>SUBTOTAL(9,I16:I22)</f>
        <v>0</v>
      </c>
      <c r="J23" s="1164">
        <f>SUBTOTAL(9,J15:J22)</f>
        <v>0</v>
      </c>
      <c r="K23" s="1240">
        <f t="shared" ref="K23:S23" si="5">SUBTOTAL(9,K16:K22)</f>
        <v>0</v>
      </c>
      <c r="L23" s="1240">
        <f t="shared" si="5"/>
        <v>0</v>
      </c>
      <c r="M23" s="1240">
        <f t="shared" si="5"/>
        <v>0</v>
      </c>
      <c r="N23" s="1240">
        <f t="shared" si="5"/>
        <v>93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1521</v>
      </c>
      <c r="Z23" s="1240">
        <f t="shared" si="6"/>
        <v>76</v>
      </c>
      <c r="AA23" s="1240">
        <f t="shared" si="6"/>
        <v>1549</v>
      </c>
      <c r="AB23" s="1240">
        <f t="shared" si="6"/>
        <v>0</v>
      </c>
      <c r="AC23" s="1240">
        <f t="shared" si="6"/>
        <v>0</v>
      </c>
      <c r="AD23" s="1240">
        <f t="shared" si="6"/>
        <v>0</v>
      </c>
      <c r="AE23" s="1240">
        <f t="shared" si="6"/>
        <v>257</v>
      </c>
      <c r="AF23" s="1240">
        <f t="shared" si="6"/>
        <v>0</v>
      </c>
      <c r="AG23" s="1240">
        <f t="shared" si="6"/>
        <v>0</v>
      </c>
      <c r="AH23" s="1240">
        <f t="shared" si="6"/>
        <v>0</v>
      </c>
      <c r="AI23" s="1240">
        <f t="shared" si="6"/>
        <v>0</v>
      </c>
      <c r="AJ23" s="1240">
        <f t="shared" si="6"/>
        <v>270</v>
      </c>
      <c r="AK23" s="1240">
        <f t="shared" si="6"/>
        <v>852</v>
      </c>
      <c r="AL23" s="1240">
        <f t="shared" si="6"/>
        <v>0</v>
      </c>
      <c r="AM23" s="1240">
        <f t="shared" si="6"/>
        <v>0</v>
      </c>
      <c r="AN23" s="1240">
        <f t="shared" si="6"/>
        <v>0</v>
      </c>
      <c r="AO23" s="1242">
        <f>IF(ISNUMBER(((NºAsuntos!I23/NºAsuntos!G23)*11)/factor_trimestre),((NºAsuntos!I23/NºAsuntos!G23)*11)/factor_trimestre," - ")</f>
        <v>3.0552268244575935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1495</v>
      </c>
      <c r="G31" s="1117">
        <f t="shared" si="12"/>
        <v>1573</v>
      </c>
      <c r="H31" s="1118">
        <f t="shared" si="12"/>
        <v>0</v>
      </c>
      <c r="I31" s="1117">
        <f t="shared" si="12"/>
        <v>0</v>
      </c>
      <c r="J31" s="1119">
        <f t="shared" si="12"/>
        <v>0</v>
      </c>
      <c r="K31" s="1117">
        <f t="shared" si="12"/>
        <v>0</v>
      </c>
      <c r="L31" s="1120">
        <f t="shared" si="12"/>
        <v>0</v>
      </c>
      <c r="M31" s="1117">
        <f t="shared" si="12"/>
        <v>0</v>
      </c>
      <c r="N31" s="1118">
        <f t="shared" si="12"/>
        <v>633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1539</v>
      </c>
      <c r="Z31" s="1124">
        <f t="shared" si="13"/>
        <v>401</v>
      </c>
      <c r="AA31" s="1125">
        <f t="shared" si="13"/>
        <v>1583</v>
      </c>
      <c r="AB31" s="1125">
        <f t="shared" si="13"/>
        <v>0</v>
      </c>
      <c r="AC31" s="1125">
        <f t="shared" si="13"/>
        <v>0</v>
      </c>
      <c r="AD31" s="1126">
        <f t="shared" si="13"/>
        <v>0</v>
      </c>
      <c r="AE31" s="1126">
        <f t="shared" si="13"/>
        <v>5788</v>
      </c>
      <c r="AF31" s="1127">
        <f t="shared" si="13"/>
        <v>0</v>
      </c>
      <c r="AG31" s="1128">
        <f t="shared" si="13"/>
        <v>0</v>
      </c>
      <c r="AH31" s="1129">
        <f t="shared" si="13"/>
        <v>0</v>
      </c>
      <c r="AI31" s="1127">
        <f t="shared" si="13"/>
        <v>0</v>
      </c>
      <c r="AJ31" s="1117">
        <f t="shared" si="13"/>
        <v>987</v>
      </c>
      <c r="AK31" s="1117">
        <f t="shared" si="13"/>
        <v>1354</v>
      </c>
      <c r="AL31" s="1117">
        <f t="shared" si="13"/>
        <v>0</v>
      </c>
      <c r="AM31" s="1130">
        <f t="shared" si="13"/>
        <v>0</v>
      </c>
      <c r="AN31" s="1120">
        <f>IF(ISNUMBER(Datos!K31/Datos!J31),Datos!K31/Datos!J31," - ")</f>
        <v>0.97512116316639741</v>
      </c>
      <c r="AO31" s="1120">
        <f>IF(ISNUMBER(FIND("06",Criterios!A8,1)),(IF(ISNUMBER(((Datos!R31/Datos!Q31)*11)/factor_trimestre),((Datos!R31/Datos!Q31)*11)/factor_trimestre," - ")),(IF(ISNUMBER(((Datos!L31/Datos!K31)*11)/factor_trimestre),((Datos!L31/Datos!K31)*11)/factor_trimestre," - ")))</f>
        <v>4.8121272365805172</v>
      </c>
      <c r="AP31" s="1131" t="str">
        <f>IF(ISNUMBER(Datos!CI31/Datos!CJ31),Datos!CI31/Datos!CJ31," - ")</f>
        <v xml:space="preserve"> - </v>
      </c>
      <c r="AQ31" s="1131">
        <f>IF(OR(ISNUMBER(FIND("01",Criterios!A8,1)),ISNUMBER(FIND("02",Criterios!A8,1)),ISNUMBER(FIND("03",Criterios!A8,1)),ISNUMBER(FIND("04",Criterios!A8,1))),(J31-Y31+K31)/(F31-K31),(I31-Y31+K31)/(F31-K31))</f>
        <v>-1.0294314381270904</v>
      </c>
      <c r="AR31" s="1131">
        <f>IF(ISNUMBER((Datos!P31-Datos!Q31+O31)/(Datos!R31-Datos!P31+Datos!Q31-O31)),(Datos!P31-Datos!Q31+O31)/(Datos!R31-Datos!P31+Datos!Q31-O31)," - ")</f>
        <v>4.1756659467242621E-2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449.42857142857144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750.43045425053651</v>
      </c>
      <c r="G33" s="674">
        <f>IF(ISNUMBER(STDEV(G8:G30)),STDEV(G8:G30),"-")</f>
        <v>715.93851159226824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307.69175205993787</v>
      </c>
      <c r="AK33" s="276"/>
      <c r="AL33" s="276">
        <f>IF(ISNUMBER(STDEV(AL8:AL30)),STDEV(AL8:AL30),"-")</f>
        <v>0</v>
      </c>
      <c r="AM33" s="278">
        <f>IF(ISNUMBER(STDEV(AM8:AM30)),STDEV(AM8:AM30),"-")</f>
        <v>0</v>
      </c>
      <c r="AN33" s="660">
        <f>IF(ISNUMBER(STDEV(AN8:AN30)),STDEV(AN8:AN30),"-")</f>
        <v>0</v>
      </c>
      <c r="AO33" s="661">
        <f>IF(ISNUMBER(STDEV(AO8:AO30)),STDEV(AO8:AO30),"-")</f>
        <v>1.7739341616111595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buUjBreAS4vW5LMBc4QKBz0AOKZnlcs/QnB4tHcEm6HhXaFCp50twGySmmJV6w0BaAMk3ajAaqAhUu0rHlNBw==" saltValue="A1QD0VmwLreR6PCFqMeX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pLHMUhPZ1eH+jxbQmeaPSN1+IYD/3GTi0oZoLJ5cjSN21zTdZboB5W3DhEFp1lvZnr83gv1dVEDhwC+5CRrBw==" saltValue="gKRVci3l28EZ2Py3gfWE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zrd11niMO6fkhChJ7KfCH9TZ0ut6d/V51+GfGKp/UoYVdJn1jOL27xPb2dzyVKhOiyp0hwf7JkOzRz44UAGtg==" saltValue="kt2ajY9RFiyj1Mc3vLuQW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CACERES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0.41301843317972348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0.29204813485642545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EVLXDnNaswVKZv5Cbv8IbUN6CotE6AZTQFcS8UXhN0QLD7fgks4MoF4ZAYDQT1jnOgs35rne6OFKkwuF3YIVQ==" saltValue="S2QrtQR5Yl3LJrXfhbCcI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Enm36tdfvjGvOhx8pal14UEYd6weWjAckX44OjknXx2jatat/+yYv9/80KK6tqRO3AkyIhCSpbEXI8YkHKgfA==" saltValue="J/318siwwO+l5tTPDEk2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CACERES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28</v>
      </c>
      <c r="D10" s="452">
        <f>IF(ISNUMBER(C10/Datos!BH10),C10/Datos!BH10," - ")</f>
        <v>28</v>
      </c>
      <c r="E10" s="451">
        <f>IF(ISNUMBER(Datos!J10),Datos!J10," - ")</f>
        <v>24</v>
      </c>
      <c r="F10" s="452">
        <f>IF(ISNUMBER(E10/B10),E10/B10," - ")</f>
        <v>12</v>
      </c>
      <c r="G10" s="451">
        <f>IF(ISNUMBER(Datos!K10),Datos!K10," - ")</f>
        <v>18</v>
      </c>
      <c r="H10" s="452">
        <f>IF(ISNUMBER(G10/B10),G10/B10," - ")</f>
        <v>9</v>
      </c>
      <c r="I10" s="451">
        <f>IF(ISNUMBER(Datos!L10),Datos!L10," - ")</f>
        <v>34</v>
      </c>
      <c r="J10" s="452">
        <f>IF(ISNUMBER(I10/B10),I10/B10," - ")</f>
        <v>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3359</v>
      </c>
      <c r="D12" s="452">
        <f>IF(ISNUMBER(C12/Datos!BH12),C12/Datos!BH12," - ")</f>
        <v>479.85714285714283</v>
      </c>
      <c r="E12" s="451">
        <f>IF(ISNUMBER(IF(J_V="SI",Datos!J12,Datos!J12+Datos!Z12)),IF(J_V="SI",Datos!J12,Datos!J12+Datos!Z12)," - ")</f>
        <v>1819</v>
      </c>
      <c r="F12" s="452">
        <f>IF(ISNUMBER(E12/B12),E12/B12," - ")</f>
        <v>259.85714285714283</v>
      </c>
      <c r="G12" s="451">
        <f>IF(ISNUMBER(IF(J_V="SI",Datos!K12,Datos!K12+Datos!AA12)),IF(J_V="SI",Datos!K12,Datos!K12+Datos!AA12)," - ")</f>
        <v>1718</v>
      </c>
      <c r="H12" s="452">
        <f>IF(ISNUMBER(G12/B12),G12/B12," - ")</f>
        <v>245.42857142857142</v>
      </c>
      <c r="I12" s="451">
        <f>IF(ISNUMBER(IF(J_V="SI",Datos!L12,Datos!L12+Datos!AB12)),IF(J_V="SI",Datos!L12,Datos!L12+Datos!AB12)," - ")</f>
        <v>3460</v>
      </c>
      <c r="J12" s="452">
        <f>IF(ISNUMBER(I12/B12),I12/B12," - ")</f>
        <v>494.28571428571428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3387</v>
      </c>
      <c r="D14" s="1147" t="str">
        <f>IF(ISNUMBER(C14/Datos!BI14),C14/Datos!BI14," - ")</f>
        <v xml:space="preserve"> - </v>
      </c>
      <c r="E14" s="1146">
        <f>SUBTOTAL(9,E8:E13)</f>
        <v>1843</v>
      </c>
      <c r="F14" s="1147">
        <f>IF(ISNUMBER(E14/B14),E14/B14," - ")</f>
        <v>230.375</v>
      </c>
      <c r="G14" s="1146">
        <f>SUBTOTAL(9,G8:G13)</f>
        <v>1736</v>
      </c>
      <c r="H14" s="1147">
        <f>IF(ISNUMBER(G14/B14),G14/B14," - ")</f>
        <v>217</v>
      </c>
      <c r="I14" s="1146">
        <f>SUBTOTAL(9,I8:I13)</f>
        <v>3494</v>
      </c>
      <c r="J14" s="1147">
        <f>IF(ISNUMBER(I14/B14),I14/B14," - ")</f>
        <v>436.75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1446</v>
      </c>
      <c r="D17" s="452">
        <f>IF(ISNUMBER(C17/Datos!BH17),C17/Datos!BH17," - ")</f>
        <v>206.57142857142858</v>
      </c>
      <c r="E17" s="451">
        <f>IF(ISNUMBER(IF(D_I="SI",Datos!J17,Datos!J17+Datos!AD17)),IF(D_I="SI",Datos!J17,Datos!J17+Datos!AD17)," - ")</f>
        <v>1303</v>
      </c>
      <c r="F17" s="452">
        <f>IF(ISNUMBER(E17/B17),E17/B17," - ")</f>
        <v>186.14285714285714</v>
      </c>
      <c r="G17" s="451">
        <f>IF(ISNUMBER(IF(D_I="SI",Datos!K17,Datos!K17+Datos!AE17)),IF(D_I="SI",Datos!K17,Datos!K17+Datos!AE17)," - ")</f>
        <v>1343</v>
      </c>
      <c r="H17" s="452">
        <f>IF(ISNUMBER(G17/B17),G17/B17," - ")</f>
        <v>191.85714285714286</v>
      </c>
      <c r="I17" s="451">
        <f>IF(ISNUMBER(IF(D_I="SI",Datos!L17,Datos!L17+Datos!AF17)),IF(D_I="SI",Datos!L17,Datos!L17+Datos!AF17)," - ")</f>
        <v>1427</v>
      </c>
      <c r="J17" s="452">
        <f>IF(ISNUMBER(I17/B17),I17/B17," - ")</f>
        <v>203.85714285714286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99</v>
      </c>
      <c r="D18" s="452">
        <f>IF(ISNUMBER(C18/Datos!BH18),C18/Datos!BH18," - ")</f>
        <v>99</v>
      </c>
      <c r="E18" s="451">
        <f>IF(ISNUMBER(IF(D_I="SI",Datos!J18,Datos!J18+Datos!AD18)),IF(D_I="SI",Datos!J18,Datos!J18+Datos!AD18)," - ")</f>
        <v>201</v>
      </c>
      <c r="F18" s="452">
        <f>IF(ISNUMBER(E18/B18),E18/B18," - ")</f>
        <v>100.5</v>
      </c>
      <c r="G18" s="451">
        <f>IF(ISNUMBER(IF(D_I="SI",Datos!K18,Datos!K18+Datos!AE18)),IF(D_I="SI",Datos!K18,Datos!K18+Datos!AE18)," - ")</f>
        <v>178</v>
      </c>
      <c r="H18" s="452">
        <f>IF(ISNUMBER(G18/B18),G18/B18," - ")</f>
        <v>89</v>
      </c>
      <c r="I18" s="451">
        <f>IF(ISNUMBER(IF(D_I="SI",Datos!L18,Datos!L18+Datos!AF18)),IF(D_I="SI",Datos!L18,Datos!L18+Datos!AF18)," - ")</f>
        <v>122</v>
      </c>
      <c r="J18" s="452">
        <f>IF(ISNUMBER(I18/B18),I18/B18," - ")</f>
        <v>61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1545</v>
      </c>
      <c r="D23" s="1147" t="str">
        <f>IF(ISNUMBER(C23/Datos!BI23),C23/Datos!BI23," - ")</f>
        <v xml:space="preserve"> - </v>
      </c>
      <c r="E23" s="1146">
        <f>SUBTOTAL(9,E15:E22)</f>
        <v>1504</v>
      </c>
      <c r="F23" s="1147">
        <f>IF(ISNUMBER(E23/B23),E23/B23," - ")</f>
        <v>188</v>
      </c>
      <c r="G23" s="1146">
        <f>SUBTOTAL(9,G15:G22)</f>
        <v>1521</v>
      </c>
      <c r="H23" s="1147">
        <f>IF(ISNUMBER(G23/B23),G23/B23," - ")</f>
        <v>190.125</v>
      </c>
      <c r="I23" s="1146">
        <f>SUBTOTAL(9,I15:I22)</f>
        <v>1549</v>
      </c>
      <c r="J23" s="1147">
        <f>IF(ISNUMBER(I23/B23),I23/B23," - ")</f>
        <v>193.625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4932</v>
      </c>
      <c r="D31" s="1085" t="str">
        <f>IF(ISNUMBER(C31/Datos!BI31),C31/Datos!BI31," - ")</f>
        <v xml:space="preserve"> - </v>
      </c>
      <c r="E31" s="1084">
        <f>SUBTOTAL(9,E9:E30)</f>
        <v>3347</v>
      </c>
      <c r="F31" s="1085">
        <f>IF(ISNUMBER(E31/B31),E31/B31," - ")</f>
        <v>418.375</v>
      </c>
      <c r="G31" s="1084">
        <f>SUBTOTAL(9,G9:G30)</f>
        <v>3257</v>
      </c>
      <c r="H31" s="1085">
        <f>IF(ISNUMBER(G31/B31),G31/B31," - ")</f>
        <v>407.125</v>
      </c>
      <c r="I31" s="1084">
        <f>SUBTOTAL(9,I9:I30)</f>
        <v>5043</v>
      </c>
      <c r="J31" s="1085">
        <f>IF(ISNUMBER(I31/B31),I31/B31," - ")</f>
        <v>630.375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sPUevC701sC1I0fRpFImQrXok93hSN8gmuDEgH+KXM5nBTxaW78SuIXtnBD5vP17jwH+bgCW5izSkGL1+myfg==" saltValue="GZIlTUnGdi/869aL3L7lG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CACERES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1</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5.666666666666667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540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711</v>
      </c>
      <c r="AM12" s="914">
        <f>IF(ISNUMBER(Datos!N12+DatosP!N17),Datos!N12+DatosP!N17," - ")</f>
        <v>490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6.0419091967403959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4.2665659807438173E-2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540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314</v>
      </c>
      <c r="AE14" s="1257">
        <f t="shared" si="1"/>
        <v>0</v>
      </c>
      <c r="AF14" s="1257">
        <f t="shared" si="1"/>
        <v>34</v>
      </c>
      <c r="AG14" s="1257">
        <f t="shared" si="1"/>
        <v>0</v>
      </c>
      <c r="AH14" s="1257">
        <f t="shared" si="1"/>
        <v>5523</v>
      </c>
      <c r="AI14" s="1257">
        <f t="shared" si="1"/>
        <v>0</v>
      </c>
      <c r="AJ14" s="1257">
        <f t="shared" si="1"/>
        <v>0</v>
      </c>
      <c r="AK14" s="1257">
        <f t="shared" si="1"/>
        <v>0</v>
      </c>
      <c r="AL14" s="1257">
        <f t="shared" si="1"/>
        <v>717</v>
      </c>
      <c r="AM14" s="1257">
        <f t="shared" si="1"/>
        <v>502</v>
      </c>
      <c r="AN14" s="1257">
        <f t="shared" si="1"/>
        <v>0</v>
      </c>
      <c r="AO14" s="1257">
        <f t="shared" si="1"/>
        <v>0</v>
      </c>
      <c r="AP14" s="1262">
        <f>IF(ISNUMBER(((Datos!L14/Datos!K14)*11)/factor_trimestre),((Datos!L14/Datos!K14)*11)/factor_trimestre," - ")</f>
        <v>6.5971943887775559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-0.6428571428571429</v>
      </c>
      <c r="AU14" s="1257" t="str">
        <f>IF(ISNUMBER((DatosP!#REF!-DatosP!#REF!+DatosP!#REF!)/(DatosP!#REF!+DatosP!#REF!-DatosP!#REF!-DatosP!#REF!)),(DatosP!#REF!-DatosP!#REF!+DatosP!#REF!)/(DatosP!#REF!+DatosP!#REF!-DatosP!#REF!-DatosP!#REF!)," - ")</f>
        <v xml:space="preserve"> - </v>
      </c>
      <c r="AV14" s="1263">
        <f>SUBTOTAL(9,AV9:AV13)</f>
        <v>4.2665659807438173E-2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3.0552268244575935</v>
      </c>
      <c r="AQ23" s="1262">
        <f>IF(ISNUMBER(((Datos!M23/Datos!L23)*11)/factor_trimestre),((Datos!M23/Datos!L23)*11)/factor_trimestre," - ")</f>
        <v>0.5229180116204003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7.0833333333333331E-2</v>
      </c>
      <c r="AW23" s="1265">
        <f>IF(ISNUMBER((Datos!Q23-Datos!R23)/(Datos!S23-Datos!Q23+Datos!R23)),(Datos!Q23-Datos!R23)/(Datos!S23-Datos!Q23+Datos!R23)," - ")</f>
        <v>-9.4963273871983209E-2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540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314</v>
      </c>
      <c r="AE31" s="1284">
        <f t="shared" si="9"/>
        <v>0</v>
      </c>
      <c r="AF31" s="1285">
        <f t="shared" si="9"/>
        <v>34</v>
      </c>
      <c r="AG31" s="1285">
        <f t="shared" si="9"/>
        <v>0</v>
      </c>
      <c r="AH31" s="1285">
        <f t="shared" si="9"/>
        <v>5523</v>
      </c>
      <c r="AI31" s="1285">
        <f t="shared" si="9"/>
        <v>0</v>
      </c>
      <c r="AJ31" s="1286">
        <f t="shared" si="9"/>
        <v>0</v>
      </c>
      <c r="AK31" s="1286">
        <f t="shared" si="9"/>
        <v>0</v>
      </c>
      <c r="AL31" s="1278">
        <f t="shared" si="9"/>
        <v>717</v>
      </c>
      <c r="AM31" s="1278">
        <f t="shared" si="9"/>
        <v>502</v>
      </c>
      <c r="AN31" s="1278">
        <f t="shared" si="9"/>
        <v>0</v>
      </c>
      <c r="AO31" s="1278">
        <f t="shared" si="9"/>
        <v>0</v>
      </c>
      <c r="AP31" s="1278">
        <f>IF(ISNUMBER(((Datos!L31/Datos!K31)*11)/factor_trimestre),((Datos!L31/Datos!K31)*11)/factor_trimestre," - ")</f>
        <v>4.8121272365805172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-0.6428571428571429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4.1756659467242621E-2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367.94564816015964</v>
      </c>
      <c r="AM33" s="1006"/>
      <c r="AN33" s="1006">
        <f>IF(ISNUMBER(STDEV(AN8:AN30)),STDEV(AN8:AN30),"-")</f>
        <v>0</v>
      </c>
      <c r="AO33" s="1012">
        <f>IF(ISNUMBER(STDEV(AO8:AO30)),STDEV(AO8:AO30),"-")</f>
        <v>0</v>
      </c>
      <c r="AP33" s="1065">
        <f>IF(ISNUMBER(STDEV(AP8:AP30)),STDEV(AP8:AP30),"-")</f>
        <v>1.5705745846548511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a+q0/hX+jSNbrmg0Ek4IEdth6KYXpLfZa4mIvv38LirEsvTtfpYQmHUPwfLewZ0cGW3a4HyZfLdCGBembTukw==" saltValue="H/b6IdOSrxCQZ1xDF0vW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CACERES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SmEgVIMGAXO9JHiNZE3MHtI2SdhPCC4tfJ8XHfDaHXam102eJLUUvsmlBOIdWaXrlbb/HO7SryEKlLFQYsOw==" saltValue="QdJ6UV/cXLOkfnGiXuDP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CACERES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2</v>
      </c>
      <c r="C10" s="458">
        <f>Datos!AQ10</f>
        <v>1</v>
      </c>
      <c r="D10" s="451">
        <f>IF(ISNUMBER(Datos!M10),Datos!M10," - ")</f>
        <v>6</v>
      </c>
      <c r="E10" s="452">
        <f>IF(ISNUMBER(D10/B10),D10/B10," - ")</f>
        <v>3</v>
      </c>
      <c r="F10" s="451">
        <f>IF(ISNUMBER(Datos!N10),Datos!N10," - ")</f>
        <v>12</v>
      </c>
      <c r="G10" s="452">
        <f>IF(ISNUMBER(F10/B10),F10/B10," - ")</f>
        <v>6</v>
      </c>
      <c r="H10" s="451">
        <f>IF(ISNUMBER(Datos!O10),Datos!O10," - ")</f>
        <v>3</v>
      </c>
      <c r="I10" s="452">
        <f t="shared" ref="I10:I13" si="2">IF(ISNUMBER(H10/B10),H10/B10," - ")</f>
        <v>1.5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711</v>
      </c>
      <c r="E12" s="452">
        <f t="shared" si="0"/>
        <v>101.57142857142857</v>
      </c>
      <c r="F12" s="451">
        <f>IF(ISNUMBER(Datos!N12),Datos!N12," - ")</f>
        <v>490</v>
      </c>
      <c r="G12" s="452">
        <f t="shared" si="1"/>
        <v>70</v>
      </c>
      <c r="H12" s="451">
        <f>IF(ISNUMBER(Datos!O12),Datos!O12," - ")</f>
        <v>659</v>
      </c>
      <c r="I12" s="452">
        <f t="shared" si="2"/>
        <v>94.142857142857139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717</v>
      </c>
      <c r="E14" s="1147">
        <f t="shared" si="0"/>
        <v>79.666666666666671</v>
      </c>
      <c r="F14" s="1146">
        <f>SUBTOTAL(9,F9:F13)</f>
        <v>502</v>
      </c>
      <c r="G14" s="1147">
        <f t="shared" si="1"/>
        <v>55.777777777777779</v>
      </c>
      <c r="H14" s="1146">
        <f>SUBTOTAL(9,H9:H13)</f>
        <v>662</v>
      </c>
      <c r="I14" s="1147">
        <f>IF(ISNUMBER(H14/B14),H14/B14," - ")</f>
        <v>73.555555555555557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237</v>
      </c>
      <c r="E17" s="452">
        <f t="shared" si="3"/>
        <v>33.857142857142854</v>
      </c>
      <c r="F17" s="451">
        <f>IF(ISNUMBER(Datos!N17),Datos!N17," - ")</f>
        <v>750</v>
      </c>
      <c r="G17" s="452">
        <f t="shared" si="4"/>
        <v>107.14285714285714</v>
      </c>
      <c r="H17" s="451">
        <f>IF(ISNUMBER(Datos!O17),Datos!O17," - ")</f>
        <v>12</v>
      </c>
      <c r="I17" s="452">
        <f t="shared" si="5"/>
        <v>1.7142857142857142</v>
      </c>
    </row>
    <row r="18" spans="1:9">
      <c r="A18" s="450" t="str">
        <f>Datos!A18</f>
        <v>Jdos. Violencia contra la mujer</v>
      </c>
      <c r="B18" s="480">
        <f>Datos!AO18</f>
        <v>2</v>
      </c>
      <c r="C18" s="481">
        <f>Datos!AQ18</f>
        <v>1</v>
      </c>
      <c r="D18" s="451">
        <f>IF(ISNUMBER(Datos!M18),Datos!M18," - ")</f>
        <v>33</v>
      </c>
      <c r="E18" s="452">
        <f>IF(ISNUMBER(D18/B18),D18/B18," - ")</f>
        <v>16.5</v>
      </c>
      <c r="F18" s="451">
        <f>IF(ISNUMBER(Datos!N18),Datos!N18," - ")</f>
        <v>102</v>
      </c>
      <c r="G18" s="452">
        <f>IF(ISNUMBER(F18/B18),F18/B18," - ")</f>
        <v>51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270</v>
      </c>
      <c r="E23" s="1147">
        <f t="shared" si="3"/>
        <v>30</v>
      </c>
      <c r="F23" s="1146">
        <f>SUBTOTAL(9,F16:F22)</f>
        <v>852</v>
      </c>
      <c r="G23" s="1147">
        <f t="shared" si="4"/>
        <v>94.666666666666671</v>
      </c>
      <c r="H23" s="1146">
        <f>SUBTOTAL(9,H16:H22)</f>
        <v>12</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987</v>
      </c>
      <c r="E31" s="1085">
        <f>IF(ISNUMBER(D31/B31),D31/B31," - ")</f>
        <v>123.375</v>
      </c>
      <c r="F31" s="1084">
        <f>SUBTOTAL(9,F8:F30)</f>
        <v>1354</v>
      </c>
      <c r="G31" s="1085">
        <f>IF(ISNUMBER(F31/B31),F31/B31," - ")</f>
        <v>169.25</v>
      </c>
      <c r="H31" s="1084">
        <f>SUBTOTAL(9,H8:H30)</f>
        <v>674</v>
      </c>
      <c r="I31" s="1085">
        <f>IF(ISNUMBER(H31/B31),H31/B31," - ")</f>
        <v>84.25</v>
      </c>
    </row>
    <row r="34" spans="1:1">
      <c r="A34" s="439" t="str">
        <f>Criterios!A4</f>
        <v>Fecha Informe: 06 may. 2023</v>
      </c>
    </row>
    <row r="39" spans="1:1">
      <c r="A39" s="462"/>
    </row>
  </sheetData>
  <sheetProtection algorithmName="SHA-512" hashValue="l1TF8Ml0IDdy+XUf0NepV6uCzahASS98JdVrOlA0MJXjb527Xn8W+i/YLZ/LDIPz5AnjYCyLM9kLTi9pzkWGQQ==" saltValue="gdaU0rLc3RBhW7kTkgGm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CACERES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11</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540</v>
      </c>
      <c r="C12" s="489">
        <f>IF(ISNUMBER(Datos!Q12),Datos!Q12," - ")</f>
        <v>314</v>
      </c>
      <c r="D12" s="456">
        <f>IF(ISNUMBER(Datos!R12),Datos!R12," - ")</f>
        <v>5523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540</v>
      </c>
      <c r="C14" s="1150">
        <f>SUBTOTAL(9,C9:C13)</f>
        <v>325</v>
      </c>
      <c r="D14" s="1148">
        <f>SUBTOTAL(9,D9:D13)</f>
        <v>5531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91</v>
      </c>
      <c r="C17" s="489">
        <f>IF(ISNUMBER(Datos!Q17),Datos!Q17," - ")</f>
        <v>76</v>
      </c>
      <c r="D17" s="456">
        <f>IF(ISNUMBER(Datos!R17),Datos!R17," - ")</f>
        <v>246</v>
      </c>
    </row>
    <row r="18" spans="1:4">
      <c r="A18" s="450" t="str">
        <f>Datos!A18</f>
        <v>Jdos. Violencia contra la mujer</v>
      </c>
      <c r="B18" s="488">
        <f>IF(ISNUMBER(Datos!P18),Datos!P18," - ")</f>
        <v>2</v>
      </c>
      <c r="C18" s="489">
        <f>IF(ISNUMBER(Datos!Q18),Datos!Q18," - ")</f>
        <v>0</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93</v>
      </c>
      <c r="C23" s="1150">
        <f>SUBTOTAL(9,C16:C22)</f>
        <v>76</v>
      </c>
      <c r="D23" s="1148">
        <f>SUBTOTAL(9,D16:D22)</f>
        <v>257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633</v>
      </c>
      <c r="C31" s="1089">
        <f>SUBTOTAL(9,C8:C30)</f>
        <v>401</v>
      </c>
      <c r="D31" s="1090">
        <f>SUBTOTAL(9,D8:D30)</f>
        <v>5788</v>
      </c>
    </row>
    <row r="32" spans="1:4" ht="7.5" customHeight="1"/>
    <row r="33" spans="1:1" ht="6" customHeight="1"/>
    <row r="34" spans="1:1">
      <c r="A34" s="439" t="str">
        <f>Criterios!A4</f>
        <v>Fecha Informe: 06 may. 2023</v>
      </c>
    </row>
    <row r="39" spans="1:1">
      <c r="A39" s="462"/>
    </row>
  </sheetData>
  <sheetProtection algorithmName="SHA-512" hashValue="wG2pXWj4dHWrYyxS4zaN7CmzrTiWLrcmf2K9fEpmbN3FCTO7VaBFqYwANXsTQyx5kQOCXVil3jQreIm43/w2Ew==" saltValue="d6TiO24MzoAYuf44IpfN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CACERES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-9.6774193548387094E-2</v>
      </c>
      <c r="C10" s="515">
        <f>IF(ISNUMBER((Datos!J10-Datos!T10)/Datos!T10),(Datos!J10-Datos!T10)/Datos!T10," - ")</f>
        <v>1.1818181818181819</v>
      </c>
      <c r="D10" s="515">
        <f>IF(ISNUMBER((Datos!K10-Datos!U10)/Datos!U10),(Datos!K10-Datos!U10)/Datos!U10," - ")</f>
        <v>0.8</v>
      </c>
      <c r="E10" s="515">
        <f>IF(ISNUMBER((Datos!L10-Datos!V10)/Datos!V10),(Datos!L10-Datos!V10)/Datos!V10," - ")</f>
        <v>6.25E-2</v>
      </c>
      <c r="F10" s="515">
        <f>IF(ISNUMBER((Datos!M10-Datos!W10)/Datos!W10),(Datos!M10-Datos!W10)/Datos!W10," - ")</f>
        <v>0.2</v>
      </c>
      <c r="G10" s="516">
        <f>IF(ISNUMBER((Datos!N10-Datos!X10)/Datos!X10),(Datos!N10-Datos!X10)/Datos!X10," - ")</f>
        <v>5</v>
      </c>
      <c r="H10" s="514">
        <f>IF(ISNUMBER(((NºAsuntos!G10/NºAsuntos!E10)-Datos!BD10)/Datos!BD10),((NºAsuntos!G10/NºAsuntos!E10)-Datos!BD10)/Datos!BD10," - ")</f>
        <v>-0.17499999999999996</v>
      </c>
      <c r="I10" s="515">
        <f>IF(ISNUMBER(((NºAsuntos!I10/NºAsuntos!G10)-Datos!BE10)/Datos!BE10),((NºAsuntos!I10/NºAsuntos!G10)-Datos!BE10)/Datos!BE10," - ")</f>
        <v>-0.40972222222222227</v>
      </c>
      <c r="J10" s="521">
        <f>IF(ISNUMBER((('Resol  Asuntos'!D10/NºAsuntos!G10)-Datos!BF10)/Datos!BF10),(('Resol  Asuntos'!D10/NºAsuntos!G10)-Datos!BF10)/Datos!BF10," - ")</f>
        <v>-0.33333333333333337</v>
      </c>
      <c r="K10" s="522">
        <f>IF(ISNUMBER((((NºAsuntos!C10+NºAsuntos!E10)/NºAsuntos!G10)-Datos!BG10)/Datos!BG10),(((NºAsuntos!C10+NºAsuntos!E10)/NºAsuntos!G10)-Datos!BG10)/Datos!BG10," - ")</f>
        <v>-0.31216931216931221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-4.9249929238607416E-2</v>
      </c>
      <c r="C12" s="515">
        <f>IF(ISNUMBER(
   IF(J_V="SI",(Datos!J12-Datos!T12)/Datos!T12,(Datos!J12+Datos!Z12-(Datos!T12+Datos!AH12))/(Datos!T12+Datos!AH12))
     ),IF(J_V="SI",(Datos!J12-Datos!T12)/Datos!T12,(Datos!J12+Datos!Z12-(Datos!T12+Datos!AH12))/(Datos!T12+Datos!AH12))," - ")</f>
        <v>-0.1958443854995579</v>
      </c>
      <c r="D12" s="515">
        <f>IF(ISNUMBER(
   IF(J_V="SI",(Datos!K12-Datos!U12)/Datos!U12,(Datos!K12+Datos!AA12-(Datos!U12+Datos!AI12))/(Datos!U12+Datos!AI12))
     ),IF(J_V="SI",(Datos!K12-Datos!U12)/Datos!U12,(Datos!K12+Datos!AA12-(Datos!U12+Datos!AI12))/(Datos!U12+Datos!AI12))," - ")</f>
        <v>-8.956014838367779E-2</v>
      </c>
      <c r="E12" s="515">
        <f>IF(ISNUMBER(
   IF(J_V="SI",(Datos!L12-Datos!V12)/Datos!V12,(Datos!L12+Datos!AB12-(Datos!V12+Datos!AJ12))/(Datos!V12+Datos!AJ12))
     ),IF(J_V="SI",(Datos!L12-Datos!V12)/Datos!V12,(Datos!L12+Datos!AB12-(Datos!V12+Datos!AJ12))/(Datos!V12+Datos!AJ12))," - ")</f>
        <v>-6.2584665402329986E-2</v>
      </c>
      <c r="F12" s="515">
        <f>IF(ISNUMBER((Datos!M12-Datos!W12)/Datos!W12),(Datos!M12-Datos!W12)/Datos!W12," - ")</f>
        <v>-0.11013767209011265</v>
      </c>
      <c r="G12" s="516">
        <f>IF(ISNUMBER((Datos!N12-Datos!X12)/Datos!X12),(Datos!N12-Datos!X12)/Datos!X12," - ")</f>
        <v>6.0606060606060608E-2</v>
      </c>
      <c r="H12" s="514">
        <f>IF(ISNUMBER(((NºAsuntos!G12/NºAsuntos!E12)-Datos!BD12)/Datos!BD12),((NºAsuntos!G12/NºAsuntos!E12)-Datos!BD12)/Datos!BD12," - ")</f>
        <v>0.13216874346130883</v>
      </c>
      <c r="I12" s="515">
        <f>IF(ISNUMBER(((NºAsuntos!I12/NºAsuntos!G12)-Datos!BE12)/Datos!BE12),((NºAsuntos!I12/NºAsuntos!G12)-Datos!BE12)/Datos!BE12," - ")</f>
        <v>2.9629066580793555E-2</v>
      </c>
      <c r="J12" s="521">
        <f>IF(ISNUMBER((('Resol  Asuntos'!D12/NºAsuntos!G12)-Datos!BF12)/Datos!BF12),(('Resol  Asuntos'!D12/NºAsuntos!G12)-Datos!BF12)/Datos!BF12," - ")</f>
        <v>0.69034894093101318</v>
      </c>
      <c r="K12" s="522">
        <f>IF(ISNUMBER((((NºAsuntos!C12+NºAsuntos!E12)/NºAsuntos!G12)-Datos!BG12)/Datos!BG12),(((NºAsuntos!C12+NºAsuntos!E12)/NºAsuntos!G12)-Datos!BG12)/Datos!BG12," - ")</f>
        <v>-1.8574480629903505E-2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-4.9663299663299666E-2</v>
      </c>
      <c r="C14" s="1152">
        <f>IF(ISNUMBER(
   IF(J_V="SI",(Datos!J14-Datos!T14)/Datos!T14,(Datos!J14+Datos!Z14-(Datos!T14+Datos!AH14))/(Datos!T14+Datos!AH14))
     ),IF(J_V="SI",(Datos!J14-Datos!T14)/Datos!T14,(Datos!J14+Datos!Z14-(Datos!T14+Datos!AH14))/(Datos!T14+Datos!AH14))," - ")</f>
        <v>-0.18917729872415309</v>
      </c>
      <c r="D14" s="1152">
        <f>IF(ISNUMBER(
   IF(J_V="SI",(Datos!K14-Datos!U14)/Datos!U14,(Datos!K14+Datos!AA14-(Datos!U14+Datos!AI14))/(Datos!U14+Datos!AI14))
     ),IF(J_V="SI",(Datos!K14-Datos!U14)/Datos!U14,(Datos!K14+Datos!AA14-(Datos!U14+Datos!AI14))/(Datos!U14+Datos!AI14))," - ")</f>
        <v>-8.4870848708487087E-2</v>
      </c>
      <c r="E14" s="1152">
        <f>IF(ISNUMBER(
   IF(J_V="SI",(Datos!L14-Datos!V14)/Datos!V14,(Datos!L14+Datos!AB14-(Datos!V14+Datos!AJ14))/(Datos!V14+Datos!AJ14))
     ),IF(J_V="SI",(Datos!L14-Datos!V14)/Datos!V14,(Datos!L14+Datos!AB14-(Datos!V14+Datos!AJ14))/(Datos!V14+Datos!AJ14))," - ")</f>
        <v>-6.1509535320977707E-2</v>
      </c>
      <c r="F14" s="1153">
        <f>IF(ISNUMBER((Datos!M14-Datos!W14)/Datos!W14),(Datos!M14-Datos!W14)/Datos!W14," - ")</f>
        <v>-0.10820895522388059</v>
      </c>
      <c r="G14" s="1154">
        <f>IF(ISNUMBER((Datos!N14-Datos!X14)/Datos!X14),(Datos!N14-Datos!X14)/Datos!X14," - ")</f>
        <v>8.1896551724137928E-2</v>
      </c>
      <c r="H14" s="1154">
        <f>IF(ISNUMBER(((NºAsuntos!G14/NºAsuntos!E14)-Datos!BD14)/Datos!BD14),((NºAsuntos!G14/NºAsuntos!E14)-Datos!BD14)/Datos!BD14," - ")</f>
        <v>0.12864273515225663</v>
      </c>
      <c r="I14" s="1154">
        <f>IF(ISNUMBER(((NºAsuntos!I14/NºAsuntos!G14)-Datos!BE14)/Datos!BE14),((NºAsuntos!I14/NºAsuntos!G14)-Datos!BE14)/Datos!BE14," - ")</f>
        <v>2.5527886806512308E-2</v>
      </c>
      <c r="J14" s="1154">
        <f>IF(ISNUMBER((('Resol  Asuntos'!D14/NºAsuntos!G14)-Datos!BF14)/Datos!BF14),(('Resol  Asuntos'!D14/NºAsuntos!G14)-Datos!BF14)/Datos!BF14," - ")</f>
        <v>0.67772155833390879</v>
      </c>
      <c r="K14" s="1154">
        <f>IF(ISNUMBER((((NºAsuntos!C14+NºAsuntos!E14)/NºAsuntos!G14)-Datos!BG14)/Datos!BG14),(((NºAsuntos!C14+NºAsuntos!E14)/NºAsuntos!G14)-Datos!BG14)/Datos!BG14," - ")</f>
        <v>-2.0894239749760884E-2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-0.11451316595223515</v>
      </c>
      <c r="C17" s="515">
        <f>IF(ISNUMBER(
   IF(D_I="SI",(Datos!J17-Datos!T17)/Datos!T17,(Datos!J17+Datos!AD17-(Datos!T17+Datos!AL17))/(Datos!T17+Datos!AL17))
     ),IF(D_I="SI",(Datos!J17-Datos!T17)/Datos!T17,(Datos!J17+Datos!AD17-(Datos!T17+Datos!AL17))/(Datos!T17+Datos!AL17))," - ")</f>
        <v>-9.9516240497581204E-2</v>
      </c>
      <c r="D17" s="515">
        <f>IF(ISNUMBER(
   IF(D_I="SI",(Datos!K17-Datos!U17)/Datos!U17,(Datos!K17+Datos!AE17-(Datos!U17+Datos!AM17))/(Datos!U17+Datos!AM17))
     ),IF(D_I="SI",(Datos!K17-Datos!U17)/Datos!U17,(Datos!K17+Datos!AE17-(Datos!U17+Datos!AM17))/(Datos!U17+Datos!AM17))," - ")</f>
        <v>-3.5893754486719311E-2</v>
      </c>
      <c r="E17" s="515">
        <f>IF(ISNUMBER(
   IF(D_I="SI",(Datos!L17-Datos!V17)/Datos!V17,(Datos!L17+Datos!AF17-(Datos!V17+Datos!AN17))/(Datos!V17+Datos!AN17))
     ),IF(D_I="SI",(Datos!L17-Datos!V17)/Datos!V17,(Datos!L17+Datos!AF17-(Datos!V17+Datos!AN17))/(Datos!V17+Datos!AN17))," - ")</f>
        <v>-0.1566193853427896</v>
      </c>
      <c r="F17" s="515">
        <f>IF(ISNUMBER((Datos!M17-Datos!W17)/Datos!W17),(Datos!M17-Datos!W17)/Datos!W17," - ")</f>
        <v>0.11267605633802817</v>
      </c>
      <c r="G17" s="516">
        <f>IF(ISNUMBER((Datos!N17-Datos!X17)/Datos!X17),(Datos!N17-Datos!X17)/Datos!X17," - ")</f>
        <v>-1.3157894736842105E-2</v>
      </c>
      <c r="H17" s="514">
        <f>IF(ISNUMBER(((NºAsuntos!G17/NºAsuntos!E17)-Datos!BD17)/Datos!BD17),((NºAsuntos!G17/NºAsuntos!E17)-Datos!BD17)/Datos!BD17," - ")</f>
        <v>7.0653674027411462E-2</v>
      </c>
      <c r="I17" s="515">
        <f>IF(ISNUMBER(((NºAsuntos!I17/NºAsuntos!G17)-Datos!BE17)/Datos!BE17),((NºAsuntos!I17/NºAsuntos!G17)-Datos!BE17)/Datos!BE17," - ")</f>
        <v>-0.12522025598101705</v>
      </c>
      <c r="J17" s="521">
        <f>IF(ISNUMBER((('Resol  Asuntos'!D17/NºAsuntos!G17)-Datos!BF17)/Datos!BF17),(('Resol  Asuntos'!D17/NºAsuntos!G17)-Datos!BF17)/Datos!BF17," - ")</f>
        <v>0.15410107705053855</v>
      </c>
      <c r="K17" s="522">
        <f>IF(ISNUMBER((((NºAsuntos!C17+NºAsuntos!E17)/NºAsuntos!G17)-Datos!BG17)/Datos!BG17),(((NºAsuntos!C17+NºAsuntos!E17)/NºAsuntos!G17)-Datos!BG17)/Datos!BG17," - ")</f>
        <v>-7.4238475597373524E-2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7.6086956521739135E-2</v>
      </c>
      <c r="C18" s="515">
        <f>IF(ISNUMBER(
   IF(D_I="SI",(Datos!J18-Datos!T18)/Datos!T18,(Datos!J18+Datos!AD18-(Datos!T18+Datos!AL18))/(Datos!T18+Datos!AL18))
     ),IF(D_I="SI",(Datos!J18-Datos!T18)/Datos!T18,(Datos!J18+Datos!AD18-(Datos!T18+Datos!AL18))/(Datos!T18+Datos!AL18))," - ")</f>
        <v>0.68907563025210083</v>
      </c>
      <c r="D18" s="515">
        <f>IF(ISNUMBER(
   IF(D_I="SI",(Datos!K18-Datos!U18)/Datos!U18,(Datos!K18+Datos!AE18-(Datos!U18+Datos!AM18))/(Datos!U18+Datos!AM18))
     ),IF(D_I="SI",(Datos!K18-Datos!U18)/Datos!U18,(Datos!K18+Datos!AE18-(Datos!U18+Datos!AM18))/(Datos!U18+Datos!AM18))," - ")</f>
        <v>0.60360360360360366</v>
      </c>
      <c r="E18" s="515">
        <f>IF(ISNUMBER(
   IF(D_I="SI",(Datos!L18-Datos!V18)/Datos!V18,(Datos!L18+Datos!AF18-(Datos!V18+Datos!AN18))/(Datos!V18+Datos!AN18))
     ),IF(D_I="SI",(Datos!L18-Datos!V18)/Datos!V18,(Datos!L18+Datos!AF18-(Datos!V18+Datos!AN18))/(Datos!V18+Datos!AN18))," - ")</f>
        <v>0.22</v>
      </c>
      <c r="F18" s="515">
        <f>IF(ISNUMBER((Datos!M18-Datos!W18)/Datos!W18),(Datos!M18-Datos!W18)/Datos!W18," - ")</f>
        <v>1.2</v>
      </c>
      <c r="G18" s="516">
        <f>IF(ISNUMBER((Datos!N18-Datos!X18)/Datos!X18),(Datos!N18-Datos!X18)/Datos!X18," - ")</f>
        <v>0.92452830188679247</v>
      </c>
      <c r="H18" s="514">
        <f>IF(ISNUMBER(((NºAsuntos!G18/NºAsuntos!E18)-Datos!BD18)/Datos!BD18),((NºAsuntos!G18/NºAsuntos!E18)-Datos!BD18)/Datos!BD18," - ")</f>
        <v>-5.0602841647617823E-2</v>
      </c>
      <c r="I18" s="515">
        <f>IF(ISNUMBER(((NºAsuntos!I18/NºAsuntos!G18)-Datos!BE18)/Datos!BE18),((NºAsuntos!I18/NºAsuntos!G18)-Datos!BE18)/Datos!BE18," - ")</f>
        <v>-0.23921348314606741</v>
      </c>
      <c r="J18" s="521">
        <f>IF(ISNUMBER((('Resol  Asuntos'!D18/NºAsuntos!G18)-Datos!BF18)/Datos!BF18),(('Resol  Asuntos'!D18/NºAsuntos!G18)-Datos!BF18)/Datos!BF18," - ")</f>
        <v>0.37191011235955057</v>
      </c>
      <c r="K18" s="522">
        <f>IF(ISNUMBER((((NºAsuntos!C18+NºAsuntos!E18)/NºAsuntos!G18)-Datos!BG18)/Datos!BG18),(((NºAsuntos!C18+NºAsuntos!E18)/NºAsuntos!G18)-Datos!BG18)/Datos!BG18," - ")</f>
        <v>-0.11337131902657224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-0.10434782608695652</v>
      </c>
      <c r="C23" s="1152">
        <f>IF(ISNUMBER(
   IF(Criterios!B14="SI",(Datos!J23-Datos!T23)/Datos!T23,(Datos!J23+Datos!AD23-(Datos!T23+Datos!AL23))/(Datos!T23+Datos!AL23))
     ),IF(Criterios!B14="SI",(Datos!J23-Datos!T23)/Datos!T23,(Datos!J23+Datos!AD23-(Datos!T23+Datos!AL23))/(Datos!T23+Datos!AL23))," - ")</f>
        <v>-3.9591315453384422E-2</v>
      </c>
      <c r="D23" s="1152">
        <f>IF(ISNUMBER(
   IF(Criterios!B14="SI",(Datos!K23-Datos!U23)/Datos!U23,(Datos!K23+Datos!AE23-(Datos!U23+Datos!AM23))/(Datos!U23+Datos!AM23))
     ),IF(Criterios!B14="SI",(Datos!K23-Datos!U23)/Datos!U23,(Datos!K23+Datos!AE23-(Datos!U23+Datos!AM23))/(Datos!U23+Datos!AM23))," - ")</f>
        <v>1.1303191489361703E-2</v>
      </c>
      <c r="E23" s="1152">
        <f>IF(ISNUMBER(
   IF(Criterios!B14="SI",(Datos!L23-Datos!V23)/Datos!V23,(Datos!L23+Datos!AF23-(Datos!V23+Datos!AN23))/(Datos!V23+Datos!AN23))
     ),IF(Criterios!B14="SI",(Datos!L23-Datos!V23)/Datos!V23,(Datos!L23+Datos!AF23-(Datos!V23+Datos!AN23))/(Datos!V23+Datos!AN23))," - ")</f>
        <v>-0.13560267857142858</v>
      </c>
      <c r="F23" s="1153">
        <f>IF(ISNUMBER((Datos!M23-Datos!W23)/Datos!W23),(Datos!M23-Datos!W23)/Datos!W23," - ")</f>
        <v>0.18421052631578946</v>
      </c>
      <c r="G23" s="1154">
        <f>IF(ISNUMBER((Datos!N23-Datos!X23)/Datos!X23),(Datos!N23-Datos!X23)/Datos!X23," - ")</f>
        <v>4.797047970479705E-2</v>
      </c>
      <c r="H23" s="1154">
        <f>IF(ISNUMBER(((NºAsuntos!G23/NºAsuntos!E23)-Datos!BD23)/Datos!BD23),((NºAsuntos!G23/NºAsuntos!E23)-Datos!BD23)/Datos!BD23," - ")</f>
        <v>5.2992551776822196E-2</v>
      </c>
      <c r="I23" s="1154">
        <f>IF(ISNUMBER(((NºAsuntos!I23/NºAsuntos!G23)-Datos!BE23)/Datos!BE23),((NºAsuntos!I23/NºAsuntos!G23)-Datos!BE23)/Datos!BE23," - ")</f>
        <v>-0.14526392411007791</v>
      </c>
      <c r="J23" s="1154">
        <f>IF(ISNUMBER((('Resol  Asuntos'!D23/NºAsuntos!G23)-Datos!BF23)/Datos!BF23),(('Resol  Asuntos'!D23/NºAsuntos!G23)-Datos!BF23)/Datos!BF23," - ")</f>
        <v>0.17097477421364046</v>
      </c>
      <c r="K23" s="1154">
        <f>IF(ISNUMBER((((NºAsuntos!C23+NºAsuntos!E23)/NºAsuntos!G23)-Datos!BG23)/Datos!BG23),(((NºAsuntos!C23+NºAsuntos!E23)/NºAsuntos!G23)-Datos!BG23)/Datos!BG23," - ")</f>
        <v>-8.3888859921396233E-2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-6.7498581962563808E-2</v>
      </c>
      <c r="C31" s="1092">
        <f>IF(ISNUMBER(
   IF(J_V="SI",(Datos!J31-Datos!T31)/Datos!T31,(Datos!J31+Datos!Z31-(Datos!T31+Datos!AH31))/(Datos!T31+Datos!AH31))
     ),IF(J_V="SI",(Datos!J31-Datos!T31)/Datos!T31,(Datos!J31+Datos!Z31-(Datos!T31+Datos!AH31))/(Datos!T31+Datos!AH31))," - ")</f>
        <v>-0.1281583745767127</v>
      </c>
      <c r="D31" s="1092">
        <f>IF(ISNUMBER(
   IF(J_V="SI",(Datos!K31-Datos!U31)/Datos!U31,(Datos!K31+Datos!AA31-(Datos!U31+Datos!AI31))/(Datos!U31+Datos!AI31))
     ),IF(J_V="SI",(Datos!K31-Datos!U31)/Datos!U31,(Datos!K31+Datos!AA31-(Datos!U31+Datos!AI31))/(Datos!U31+Datos!AI31))," - ")</f>
        <v>-4.2340488091737724E-2</v>
      </c>
      <c r="E31" s="1092">
        <f>IF(ISNUMBER(
   IF(J_V="SI",(Datos!L31-Datos!V31)/Datos!V31,(Datos!L31+Datos!AB31-(Datos!V31+Datos!AJ31))/(Datos!V31+Datos!AJ31))
     ),IF(J_V="SI",(Datos!L31-Datos!V31)/Datos!V31,(Datos!L31+Datos!AB31-(Datos!V31+Datos!AJ31))/(Datos!V31+Datos!AJ31))," - ")</f>
        <v>-8.5584768812330014E-2</v>
      </c>
      <c r="F31" s="1093">
        <f>IF(ISNUMBER((Datos!M31-Datos!W31)/Datos!W31),(Datos!M31-Datos!W31)/Datos!W31," - ")</f>
        <v>-4.3604651162790699E-2</v>
      </c>
      <c r="G31" s="1094">
        <f>IF(ISNUMBER((Datos!N31-Datos!X31)/Datos!X31),(Datos!N31-Datos!X31)/Datos!X31," - ")</f>
        <v>6.0297572435395456E-2</v>
      </c>
      <c r="H31" s="1095">
        <f>IF(ISNUMBER((Tasas!B31-Datos!BD31)/Datos!BD31),(Tasas!B31-Datos!BD31)/Datos!BD31," - ")</f>
        <v>9.843288503609772E-2</v>
      </c>
      <c r="I31" s="1096">
        <f>IF(ISNUMBER((Tasas!C31-Datos!BE31)/Datos!BE31),(Tasas!C31-Datos!BE31)/Datos!BE31," - ")</f>
        <v>-4.5156216988251278E-2</v>
      </c>
      <c r="J31" s="1097">
        <f>IF(ISNUMBER((Tasas!D31-Datos!BF31)/Datos!BF31),(Tasas!D31-Datos!BF31)/Datos!BF31," - ")</f>
        <v>0.48293194734970379</v>
      </c>
      <c r="K31" s="1097">
        <f>IF(ISNUMBER((Tasas!E31-Datos!BG31)/Datos!BG31),(Tasas!E31-Datos!BG31)/Datos!BG31," - ")</f>
        <v>-5.2910275905438689E-2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605DsrmR7IoVJBdh22fWmnOADhKkDyuRvYdDm60DYBx//ET1EVC/+TDoxxHSRW7CZbSEhZ7hX6OJy1wpFao5Q==" saltValue="tKI+SBQYYPaUf8ALBLUeU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CACERES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1.8888888888888888</v>
      </c>
      <c r="D10" s="499">
        <f>IF(ISNUMBER('Resol  Asuntos'!D10/NºAsuntos!G10),'Resol  Asuntos'!D10/NºAsuntos!G10," - ")</f>
        <v>0.33333333333333331</v>
      </c>
      <c r="E10" s="500">
        <f>IF(ISNUMBER((NºAsuntos!C10+NºAsuntos!E10)/NºAsuntos!G10),(NºAsuntos!C10+NºAsuntos!E10)/NºAsuntos!G10," - ")</f>
        <v>2.8888888888888888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0.94447498625618476</v>
      </c>
      <c r="C12" s="498">
        <f>IF(ISNUMBER(NºAsuntos!I12/NºAsuntos!G12),NºAsuntos!I12/NºAsuntos!G12," - ")</f>
        <v>2.0139697322467986</v>
      </c>
      <c r="D12" s="499">
        <f>IF(ISNUMBER('Resol  Asuntos'!D12/NºAsuntos!G12),'Resol  Asuntos'!D12/NºAsuntos!G12," - ")</f>
        <v>0.41385331781140861</v>
      </c>
      <c r="E12" s="500">
        <f>IF(ISNUMBER((NºAsuntos!C12+NºAsuntos!E12)/NºAsuntos!G12),(NºAsuntos!C12+NºAsuntos!E12)/NºAsuntos!G12," - ")</f>
        <v>3.0139697322467986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0.94194248507867606</v>
      </c>
      <c r="C14" s="1156">
        <f>IF(ISNUMBER(NºAsuntos!I14/NºAsuntos!G14),NºAsuntos!I14/NºAsuntos!G14," - ")</f>
        <v>2.0126728110599079</v>
      </c>
      <c r="D14" s="1157">
        <f>IF(ISNUMBER('Resol  Asuntos'!D14/NºAsuntos!G14),'Resol  Asuntos'!D14/NºAsuntos!G14," - ")</f>
        <v>0.41301843317972348</v>
      </c>
      <c r="E14" s="1158">
        <f>IF(ISNUMBER((NºAsuntos!C14+NºAsuntos!E14)/NºAsuntos!G14),(NºAsuntos!C14+NºAsuntos!E14)/NºAsuntos!G14," - ")</f>
        <v>3.0126728110599079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1.0306983883346124</v>
      </c>
      <c r="C17" s="498">
        <f>IF(ISNUMBER(NºAsuntos!I17/NºAsuntos!G17),NºAsuntos!I17/NºAsuntos!G17," - ")</f>
        <v>1.0625465376023828</v>
      </c>
      <c r="D17" s="499">
        <f>IF(ISNUMBER('Resol  Asuntos'!D17/NºAsuntos!G17),'Resol  Asuntos'!D17/NºAsuntos!G17," - ")</f>
        <v>0.17647058823529413</v>
      </c>
      <c r="E17" s="500">
        <f>IF(ISNUMBER((NºAsuntos!C17+NºAsuntos!E17)/NºAsuntos!G17),(NºAsuntos!C17+NºAsuntos!E17)/NºAsuntos!G17," - ")</f>
        <v>2.046909903201787</v>
      </c>
      <c r="G17" s="523"/>
    </row>
    <row r="18" spans="1:7">
      <c r="A18" s="450" t="str">
        <f>Datos!A18</f>
        <v>Jdos. Violencia contra la mujer</v>
      </c>
      <c r="B18" s="497">
        <f>IF(ISNUMBER(NºAsuntos!G18/NºAsuntos!E18),NºAsuntos!G18/NºAsuntos!E18," - ")</f>
        <v>0.88557213930348255</v>
      </c>
      <c r="C18" s="498">
        <f>IF(ISNUMBER(NºAsuntos!I18/NºAsuntos!G18),NºAsuntos!I18/NºAsuntos!G18," - ")</f>
        <v>0.6853932584269663</v>
      </c>
      <c r="D18" s="499">
        <f>IF(ISNUMBER('Resol  Asuntos'!D18/NºAsuntos!G18),'Resol  Asuntos'!D18/NºAsuntos!G18," - ")</f>
        <v>0.1853932584269663</v>
      </c>
      <c r="E18" s="500">
        <f>IF(ISNUMBER((NºAsuntos!C18+NºAsuntos!E18)/NºAsuntos!G18),(NºAsuntos!C18+NºAsuntos!E18)/NºAsuntos!G18," - ")</f>
        <v>1.6853932584269662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1.0113031914893618</v>
      </c>
      <c r="C23" s="1156">
        <f>IF(ISNUMBER(NºAsuntos!I23/NºAsuntos!G23),NºAsuntos!I23/NºAsuntos!G23," - ")</f>
        <v>1.0184089414858646</v>
      </c>
      <c r="D23" s="1159">
        <f>IF(ISNUMBER('Resol  Asuntos'!D23/NºAsuntos!G23),'Resol  Asuntos'!D23/NºAsuntos!G23," - ")</f>
        <v>0.17751479289940827</v>
      </c>
      <c r="E23" s="1158">
        <f>IF(ISNUMBER((NºAsuntos!C23+NºAsuntos!E23)/NºAsuntos!G23),(NºAsuntos!C23+NºAsuntos!E23)/NºAsuntos!G23," - ")</f>
        <v>2.0046022353714661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0.97311024798326862</v>
      </c>
      <c r="C31" s="1099">
        <f>IF(ISNUMBER(NºAsuntos!I31/NºAsuntos!G31),NºAsuntos!I31/NºAsuntos!G31," - ")</f>
        <v>1.5483573840957936</v>
      </c>
      <c r="D31" s="1100">
        <f>IF(ISNUMBER('Resol  Asuntos'!D31/NºAsuntos!G31),'Resol  Asuntos'!D31/NºAsuntos!G31," - ")</f>
        <v>0.30303960700030702</v>
      </c>
      <c r="E31" s="1101">
        <f>IF(ISNUMBER((NºAsuntos!C31+NºAsuntos!E31)/NºAsuntos!G31),(NºAsuntos!C31+NºAsuntos!E31)/NºAsuntos!G31," - ")</f>
        <v>2.5419097328830214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so98PZxGwx1KCU0A5+cSx2wa96XhqJgo/tVU6U9++CiqlzwGd/+cj21rawCmEtiLHs2XQJTsMZEnR4Mf0mdQQ==" saltValue="9/92S5Dn6eNNwhL/scjqa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CACERES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1</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11</v>
      </c>
      <c r="Y10" s="374">
        <f t="shared" ref="Y10:Y13" si="0">SUM(W10:X10)</f>
        <v>29</v>
      </c>
      <c r="Z10" s="375" t="str">
        <f>IF(ISNUMBER(Datos!CC10),Datos!CC10," - ")</f>
        <v xml:space="preserve"> - </v>
      </c>
      <c r="AA10" s="372">
        <f>IF(ISNUMBER(Datos!L10),Datos!L10,"-")</f>
        <v>34</v>
      </c>
      <c r="AB10" s="374">
        <f>IF(ISNUMBER(Datos!R10),Datos!R10," - ")</f>
        <v>8</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5.666666666666667</v>
      </c>
      <c r="AN10" s="267">
        <f>IF(ISNUMBER('Resol  Asuntos'!D10/NºAsuntos!G10),'Resol  Asuntos'!D10/NºAsuntos!G10," - ")</f>
        <v>0.33333333333333331</v>
      </c>
      <c r="AO10" s="268">
        <f>IF(ISNUMBER((NºAsuntos!C10+NºAsuntos!E10)/NºAsuntos!G10),(NºAsuntos!C10+NºAsuntos!E10)/NºAsuntos!G10," - ")</f>
        <v>2.8888888888888888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540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314</v>
      </c>
      <c r="Y12" s="374">
        <f t="shared" si="0"/>
        <v>314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711</v>
      </c>
      <c r="AJ12" s="243" t="str">
        <f>IF(ISNUMBER(Datos!BW12),Datos!BW12," - ")</f>
        <v xml:space="preserve"> - </v>
      </c>
      <c r="AK12" s="242" t="str">
        <f>IF(ISNUMBER(Datos!BX12),Datos!BX12," - ")</f>
        <v xml:space="preserve"> - </v>
      </c>
      <c r="AL12" s="266">
        <f>IF(ISNUMBER(NºAsuntos!G12/NºAsuntos!E12),NºAsuntos!G12/NºAsuntos!E12," - ")</f>
        <v>0.94447498625618476</v>
      </c>
      <c r="AM12" s="284">
        <f>IF(ISNUMBER(((NºAsuntos!I12/NºAsuntos!G12)*11)/factor_trimestre),((NºAsuntos!I12/NºAsuntos!G12)*11)/factor_trimestre," - ")</f>
        <v>6.0419091967403959</v>
      </c>
      <c r="AN12" s="267">
        <f>IF(ISNUMBER('Resol  Asuntos'!D12/NºAsuntos!G12),'Resol  Asuntos'!D12/NºAsuntos!G12," - ")</f>
        <v>0.41385331781140861</v>
      </c>
      <c r="AO12" s="268">
        <f>IF(ISNUMBER((NºAsuntos!C12+NºAsuntos!E12)/NºAsuntos!G12),(NºAsuntos!C12+NºAsuntos!E12)/NºAsuntos!G12," - ")</f>
        <v>3.0139697322467986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28</v>
      </c>
      <c r="G14" s="1163">
        <f t="shared" si="5"/>
        <v>28</v>
      </c>
      <c r="H14" s="1162">
        <f t="shared" si="5"/>
        <v>0</v>
      </c>
      <c r="I14" s="1164">
        <f t="shared" si="5"/>
        <v>0</v>
      </c>
      <c r="J14" s="1164">
        <f t="shared" si="5"/>
        <v>0</v>
      </c>
      <c r="K14" s="1164">
        <f t="shared" si="5"/>
        <v>0</v>
      </c>
      <c r="L14" s="1164">
        <f t="shared" si="5"/>
        <v>540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325</v>
      </c>
      <c r="Y14" s="1165">
        <f t="shared" si="6"/>
        <v>343</v>
      </c>
      <c r="Z14" s="1165">
        <f t="shared" si="6"/>
        <v>0</v>
      </c>
      <c r="AA14" s="1165">
        <f t="shared" si="6"/>
        <v>34</v>
      </c>
      <c r="AB14" s="1165">
        <f t="shared" si="6"/>
        <v>5531</v>
      </c>
      <c r="AC14" s="1165">
        <f t="shared" si="6"/>
        <v>42</v>
      </c>
      <c r="AD14" s="1165">
        <f t="shared" si="6"/>
        <v>0</v>
      </c>
      <c r="AE14" s="1169">
        <f t="shared" si="6"/>
        <v>0</v>
      </c>
      <c r="AF14" s="1162">
        <f t="shared" si="6"/>
        <v>0</v>
      </c>
      <c r="AG14" s="1170">
        <f t="shared" si="6"/>
        <v>0</v>
      </c>
      <c r="AH14" s="1167">
        <f t="shared" si="6"/>
        <v>0</v>
      </c>
      <c r="AI14" s="1162">
        <f t="shared" si="6"/>
        <v>717</v>
      </c>
      <c r="AJ14" s="1164">
        <f t="shared" si="6"/>
        <v>0</v>
      </c>
      <c r="AK14" s="1167">
        <f>SUBTOTAL(9,AK9:AK13)</f>
        <v>0</v>
      </c>
      <c r="AL14" s="1171">
        <f>IF(ISNUMBER(NºAsuntos!G14/NºAsuntos!E14),NºAsuntos!G14/NºAsuntos!E14," - ")</f>
        <v>0.94194248507867606</v>
      </c>
      <c r="AM14" s="1171">
        <f>IF(ISNUMBER(((NºAsuntos!I14/NºAsuntos!G14)*11)/factor_trimestre),((NºAsuntos!I14/NºAsuntos!G14)*11)/factor_trimestre," - ")</f>
        <v>6.0380184331797233</v>
      </c>
      <c r="AN14" s="1172">
        <f>IF(ISNUMBER('Resol  Asuntos'!D14/NºAsuntos!G14),'Resol  Asuntos'!D14/NºAsuntos!G14," - ")</f>
        <v>0.41301843317972348</v>
      </c>
      <c r="AO14" s="1173">
        <f>IF(ISNUMBER((NºAsuntos!C14+NºAsuntos!E14)/NºAsuntos!G14),(NºAsuntos!C14+NºAsuntos!E14)/NºAsuntos!G14," - ")</f>
        <v>3.0126728110599079</v>
      </c>
      <c r="AP14" s="1174" t="str">
        <f t="shared" si="2"/>
        <v xml:space="preserve"> - </v>
      </c>
      <c r="AQ14" s="1174">
        <f>IF(ISNUMBER((H14-W14+K14)/(F14)),(H14-W14+K14)/(F14)," - ")</f>
        <v>-0.6428571428571429</v>
      </c>
      <c r="AR14" s="1175">
        <f>IF(ISNUMBER((Datos!P14-Datos!Q14)/(Datos!R14-Datos!P14+Datos!Q14)),(Datos!P14-Datos!Q14)/(Datos!R14-Datos!P14+Datos!Q14)," - ")</f>
        <v>4.0443942814145976E-2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1467</v>
      </c>
      <c r="G17" s="373">
        <f>IF(ISNUMBER(IF(D_I="SI",Datos!I17,Datos!I17+Datos!AC17)),IF(D_I="SI",Datos!I17,Datos!I17+Datos!AC17)," - ")</f>
        <v>1446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1343</v>
      </c>
      <c r="X17" s="240">
        <f>IF(ISNUMBER(Datos!Q17),Datos!Q17," - ")</f>
        <v>76</v>
      </c>
      <c r="Y17" s="374">
        <f t="shared" ref="Y17:Y22" si="9">SUM(W17:X17)</f>
        <v>1419</v>
      </c>
      <c r="Z17" s="375" t="str">
        <f>IF(ISNUMBER(Datos!CC17),Datos!CC17," - ")</f>
        <v xml:space="preserve"> - </v>
      </c>
      <c r="AA17" s="372">
        <f>IF(ISNUMBER(IF(D_I="SI",Datos!L17,Datos!L17+Datos!AF17)),IF(D_I="SI",Datos!L17,Datos!L17+Datos!AF17)," - ")</f>
        <v>1427</v>
      </c>
      <c r="AB17" s="374">
        <f>IF(ISNUMBER(Datos!R17),Datos!R17," - ")</f>
        <v>246</v>
      </c>
      <c r="AC17" s="374">
        <f t="shared" si="8"/>
        <v>1673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1.0306983883346124</v>
      </c>
      <c r="AM17" s="284">
        <f>IF(ISNUMBER(((NºAsuntos!I17/NºAsuntos!G17)*11)/factor_trimestre),((NºAsuntos!I17/NºAsuntos!G17)*11)/factor_trimestre," - ")</f>
        <v>3.1876396128071485</v>
      </c>
      <c r="AN17" s="267">
        <f>IF(ISNUMBER('Resol  Asuntos'!D17/NºAsuntos!G17),'Resol  Asuntos'!D17/NºAsuntos!G17," - ")</f>
        <v>0.17647058823529413</v>
      </c>
      <c r="AO17" s="268">
        <f>IF(ISNUMBER((NºAsuntos!C17+NºAsuntos!E17)/NºAsuntos!G17),(NºAsuntos!C17+NºAsuntos!E17)/NºAsuntos!G17," - ")</f>
        <v>2.046909903201787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99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178</v>
      </c>
      <c r="X18" s="240">
        <f>IF(ISNUMBER(Datos!Q18),Datos!Q18," - ")</f>
        <v>0</v>
      </c>
      <c r="Y18" s="374">
        <f t="shared" si="9"/>
        <v>178</v>
      </c>
      <c r="Z18" s="375" t="str">
        <f>IF(ISNUMBER(Datos!CC18),Datos!CC18," - ")</f>
        <v xml:space="preserve"> - </v>
      </c>
      <c r="AA18" s="372">
        <f>IF(ISNUMBER(Datos!L18),Datos!L18,"-")</f>
        <v>122</v>
      </c>
      <c r="AB18" s="374">
        <f>IF(ISNUMBER(Datos!R18),Datos!R18," - ")</f>
        <v>11</v>
      </c>
      <c r="AC18" s="374">
        <f t="shared" si="8"/>
        <v>133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33</v>
      </c>
      <c r="AJ18" s="245" t="str">
        <f>IF(ISNUMBER(Datos!BW18),Datos!BW18," - ")</f>
        <v xml:space="preserve"> - </v>
      </c>
      <c r="AK18" s="246" t="str">
        <f>IF(ISNUMBER(Datos!BX18),Datos!BX18," - ")</f>
        <v xml:space="preserve"> - </v>
      </c>
      <c r="AL18" s="266">
        <f>IF(ISNUMBER(NºAsuntos!G18/NºAsuntos!E18),NºAsuntos!G18/NºAsuntos!E18," - ")</f>
        <v>0.88557213930348255</v>
      </c>
      <c r="AM18" s="284">
        <f>IF(ISNUMBER(((NºAsuntos!I18/NºAsuntos!G18)*11)/factor_trimestre),((NºAsuntos!I18/NºAsuntos!G18)*11)/factor_trimestre," - ")</f>
        <v>2.0561797752808992</v>
      </c>
      <c r="AN18" s="267">
        <f>IF(ISNUMBER('Resol  Asuntos'!D18/NºAsuntos!G18),'Resol  Asuntos'!D18/NºAsuntos!G18," - ")</f>
        <v>0.1853932584269663</v>
      </c>
      <c r="AO18" s="268">
        <f>IF(ISNUMBER((NºAsuntos!C18+NºAsuntos!E18)/NºAsuntos!G18),(NºAsuntos!C18+NºAsuntos!E18)/NºAsuntos!G18," - ")</f>
        <v>1.6853932584269662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1467</v>
      </c>
      <c r="G23" s="1163">
        <f>SUBTOTAL(9,G16:G22)</f>
        <v>1545</v>
      </c>
      <c r="H23" s="1162">
        <f t="shared" ref="H23:O23" si="13">SUBTOTAL(9,H15:H22)</f>
        <v>0</v>
      </c>
      <c r="I23" s="1164">
        <f t="shared" si="13"/>
        <v>0</v>
      </c>
      <c r="J23" s="1164">
        <f t="shared" si="13"/>
        <v>0</v>
      </c>
      <c r="K23" s="1164">
        <f t="shared" si="13"/>
        <v>0</v>
      </c>
      <c r="L23" s="1164">
        <f t="shared" si="13"/>
        <v>93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1521</v>
      </c>
      <c r="X23" s="1164">
        <f t="shared" si="14"/>
        <v>76</v>
      </c>
      <c r="Y23" s="1165">
        <f t="shared" si="14"/>
        <v>1597</v>
      </c>
      <c r="Z23" s="1165">
        <f t="shared" si="14"/>
        <v>0</v>
      </c>
      <c r="AA23" s="1165">
        <f t="shared" si="14"/>
        <v>1549</v>
      </c>
      <c r="AB23" s="1165">
        <f t="shared" si="14"/>
        <v>257</v>
      </c>
      <c r="AC23" s="1165">
        <f t="shared" si="14"/>
        <v>1806</v>
      </c>
      <c r="AD23" s="1165">
        <f t="shared" si="14"/>
        <v>0</v>
      </c>
      <c r="AE23" s="1169">
        <f t="shared" si="14"/>
        <v>0</v>
      </c>
      <c r="AF23" s="1162">
        <f t="shared" si="14"/>
        <v>0</v>
      </c>
      <c r="AG23" s="1170">
        <f t="shared" si="14"/>
        <v>0</v>
      </c>
      <c r="AH23" s="1167">
        <f t="shared" si="14"/>
        <v>0</v>
      </c>
      <c r="AI23" s="1162">
        <f t="shared" si="14"/>
        <v>270</v>
      </c>
      <c r="AJ23" s="1164">
        <f t="shared" si="14"/>
        <v>0</v>
      </c>
      <c r="AK23" s="1167">
        <f t="shared" si="14"/>
        <v>0</v>
      </c>
      <c r="AL23" s="1171">
        <f>IF(ISNUMBER(NºAsuntos!G23/NºAsuntos!E23),NºAsuntos!G23/NºAsuntos!E23," - ")</f>
        <v>1.0113031914893618</v>
      </c>
      <c r="AM23" s="1171">
        <f>IF(ISNUMBER(((NºAsuntos!I23/NºAsuntos!G23)*11)/factor_trimestre),((NºAsuntos!I23/NºAsuntos!G23)*11)/factor_trimestre," - ")</f>
        <v>3.0552268244575935</v>
      </c>
      <c r="AN23" s="1172">
        <f>IF(ISNUMBER('Resol  Asuntos'!D23/NºAsuntos!G23),'Resol  Asuntos'!D23/NºAsuntos!G23," - ")</f>
        <v>0.17751479289940827</v>
      </c>
      <c r="AO23" s="1173">
        <f>IF(ISNUMBER((NºAsuntos!C23+NºAsuntos!E23)/NºAsuntos!G23),(NºAsuntos!C23+NºAsuntos!E23)/NºAsuntos!G23," - ")</f>
        <v>2.0046022353714661</v>
      </c>
      <c r="AP23" s="1174" t="str">
        <f t="shared" si="2"/>
        <v xml:space="preserve"> - </v>
      </c>
      <c r="AQ23" s="1174">
        <f>IF(ISNUMBER((H23-W23+K23)/(F23)),(H23-W23+K23)/(F23)," - ")</f>
        <v>-1.0368098159509203</v>
      </c>
      <c r="AR23" s="1175">
        <f>IF(ISNUMBER((Datos!P23-Datos!Q23)/(Datos!R23-Datos!P23+Datos!Q23)),(Datos!P23-Datos!Q23)/(Datos!R23-Datos!P23+Datos!Q23)," - ")</f>
        <v>7.0833333333333331E-2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1495</v>
      </c>
      <c r="G31" s="1118">
        <f t="shared" si="20"/>
        <v>1573</v>
      </c>
      <c r="H31" s="1117">
        <f t="shared" si="20"/>
        <v>0</v>
      </c>
      <c r="I31" s="1119">
        <f t="shared" si="20"/>
        <v>0</v>
      </c>
      <c r="J31" s="1119">
        <f t="shared" si="20"/>
        <v>0</v>
      </c>
      <c r="K31" s="1180">
        <f t="shared" si="20"/>
        <v>0</v>
      </c>
      <c r="L31" s="1119">
        <f t="shared" si="20"/>
        <v>633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1539</v>
      </c>
      <c r="X31" s="1118">
        <f t="shared" si="21"/>
        <v>401</v>
      </c>
      <c r="Y31" s="1125">
        <f t="shared" si="21"/>
        <v>1940</v>
      </c>
      <c r="Z31" s="1125">
        <f t="shared" si="21"/>
        <v>0</v>
      </c>
      <c r="AA31" s="1125">
        <f t="shared" si="21"/>
        <v>1583</v>
      </c>
      <c r="AB31" s="1125">
        <f t="shared" si="21"/>
        <v>5788</v>
      </c>
      <c r="AC31" s="1125">
        <f t="shared" si="21"/>
        <v>1848</v>
      </c>
      <c r="AD31" s="1125">
        <f t="shared" si="21"/>
        <v>0</v>
      </c>
      <c r="AE31" s="1127">
        <f t="shared" si="21"/>
        <v>0</v>
      </c>
      <c r="AF31" s="1128">
        <f t="shared" si="21"/>
        <v>0</v>
      </c>
      <c r="AG31" s="1129">
        <f t="shared" si="21"/>
        <v>0</v>
      </c>
      <c r="AH31" s="1127">
        <f t="shared" si="21"/>
        <v>0</v>
      </c>
      <c r="AI31" s="1117">
        <f t="shared" si="21"/>
        <v>987</v>
      </c>
      <c r="AJ31" s="1117">
        <f t="shared" si="21"/>
        <v>0</v>
      </c>
      <c r="AK31" s="1127">
        <f t="shared" si="21"/>
        <v>0</v>
      </c>
      <c r="AL31" s="1183">
        <f>IF(ISNUMBER(NºAsuntos!G31/NºAsuntos!E31),NºAsuntos!G31/NºAsuntos!E31," - ")</f>
        <v>0.97311024798326862</v>
      </c>
      <c r="AM31" s="1184">
        <f>IF(ISNUMBER(((NºAsuntos!I31/NºAsuntos!G31)*11)/factor_trimestre),((NºAsuntos!I31/NºAsuntos!G31)*11)/factor_trimestre," - ")</f>
        <v>4.6450721522873808</v>
      </c>
      <c r="AN31" s="1184">
        <f>IF(ISNUMBER('Resol  Asuntos'!D31/NºAsuntos!G31),'Resol  Asuntos'!D31/NºAsuntos!G31," - ")</f>
        <v>0.30303960700030702</v>
      </c>
      <c r="AO31" s="1185">
        <f>IF(ISNUMBER((NºAsuntos!C31+NºAsuntos!E31)/NºAsuntos!G31),(NºAsuntos!C31+NºAsuntos!E31)/NºAsuntos!G31," - ")</f>
        <v>2.5419097328830214</v>
      </c>
      <c r="AP31" s="1186" t="str">
        <f t="shared" si="2"/>
        <v xml:space="preserve"> - </v>
      </c>
      <c r="AQ31" s="1187">
        <f>IF(OR(ISNUMBER(FIND("01",Criterios!A8,1)),ISNUMBER(FIND("02",Criterios!A8,1)),ISNUMBER(FIND("03",Criterios!A8,1)),ISNUMBER(FIND("04",Criterios!A8,1))),(I31-W31+K31)/(F31-K31),(H31-W31+K31)/(F31-K31))</f>
        <v>-1.0294314381270904</v>
      </c>
      <c r="AR31" s="1188">
        <f>IF(ISNUMBER((Datos!P31-Datos!Q31)/(Datos!R31-Datos!P31+Datos!Q31)),(Datos!P31-Datos!Q31)/(Datos!R31-Datos!P31+Datos!Q31)," - ")</f>
        <v>4.1756659467242621E-2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449.42857142857144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750.43045425053651</v>
      </c>
      <c r="G33" s="277">
        <f>IF(ISNUMBER(STDEV(G8:G30)),STDEV(G8:G30),"-")</f>
        <v>715.93851159226824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682.63965952902618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307.69175205993787</v>
      </c>
      <c r="AJ33" s="276">
        <f t="shared" si="25"/>
        <v>0</v>
      </c>
      <c r="AK33" s="278">
        <f t="shared" si="25"/>
        <v>0</v>
      </c>
      <c r="AL33" s="273">
        <f t="shared" si="25"/>
        <v>0.1014235117502665</v>
      </c>
      <c r="AM33" s="274">
        <f t="shared" si="25"/>
        <v>1.7739341616111595</v>
      </c>
      <c r="AN33" s="274">
        <f t="shared" si="25"/>
        <v>0.11710092284134861</v>
      </c>
      <c r="AO33" s="275">
        <f t="shared" si="25"/>
        <v>0.5953810930122605</v>
      </c>
      <c r="AP33" s="317" t="str">
        <f t="shared" si="25"/>
        <v>-</v>
      </c>
      <c r="AQ33" s="318">
        <f t="shared" si="25"/>
        <v>0.27856660661117655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ojAv/k6FwwxuO9XagSCAgUf0ZlrxL4U7POB9CqWaieLlaAhmSxpu2ik6C/uw7NOB09f4/6ssKTed1upOPTnkA==" saltValue="nV8jq/i3j3UkFYDe5GQS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CACERES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-9.6774193548387094E-2</v>
      </c>
      <c r="E10" s="393">
        <f>IF(ISNUMBER((Datos!J10-Datos!T10)/Datos!T10),(Datos!J10-Datos!T10)/Datos!T10," - ")</f>
        <v>1.1818181818181819</v>
      </c>
      <c r="F10" s="393">
        <f>IF(ISNUMBER((Datos!K10-Datos!U10)/Datos!U10),(Datos!K10-Datos!U10)/Datos!U10," - ")</f>
        <v>0.8</v>
      </c>
      <c r="G10" s="394">
        <f>IF(ISNUMBER((Datos!L10-Datos!V10)/Datos!V10),(Datos!L10-Datos!V10)/Datos!V10," - ")</f>
        <v>6.25E-2</v>
      </c>
      <c r="H10" s="244">
        <f>IF(ISNUMBER((Datos!M10-Datos!W10)/Datos!W10),(Datos!M10-Datos!W10)/Datos!W10," - ")</f>
        <v>0.2</v>
      </c>
      <c r="I10" s="395">
        <f>IF(ISNUMBER((Tasas!C10-Datos!BE10)/Datos!BE10),(Tasas!C10-Datos!BE10)/Datos!BE10," - ")</f>
        <v>-0.40972222222222227</v>
      </c>
      <c r="J10" s="394">
        <f>IF(ISNUMBER((Tasas!D10-Datos!BF10)/Datos!BF10),(Tasas!D10-Datos!BF10)/Datos!BF10," - ")</f>
        <v>-0.33333333333333337</v>
      </c>
      <c r="K10" s="396">
        <f>IF(ISNUMBER((Tasas!E10-Datos!BG10)/Datos!BG10),(Tasas!E10-Datos!BG10)/Datos!BG10," - ")</f>
        <v>-0.31216931216931221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-0.11013767209011265</v>
      </c>
      <c r="I12" s="395">
        <f>IF(ISNUMBER((Tasas!C12-Datos!BE12)/Datos!BE12),(Tasas!C12-Datos!BE12)/Datos!BE12," - ")</f>
        <v>2.9629066580793555E-2</v>
      </c>
      <c r="J12" s="394">
        <f>IF(ISNUMBER((Tasas!D12-Datos!BF12)/Datos!BF12),(Tasas!D12-Datos!BF12)/Datos!BF12," - ")</f>
        <v>0.69034894093101318</v>
      </c>
      <c r="K12" s="396">
        <f>IF(ISNUMBER((Tasas!E12-Datos!BG12)/Datos!BG12),(Tasas!E12-Datos!BG12)/Datos!BG12," - ")</f>
        <v>-1.8574480629903505E-2</v>
      </c>
      <c r="M12" t="e">
        <f>IF(Monitorios="SI",Datos!CE12,0)</f>
        <v>#REF!</v>
      </c>
      <c r="N12" t="e">
        <f>IF(Monitorios="SI",Datos!CF12,0)</f>
        <v>#REF!</v>
      </c>
      <c r="O12" t="e">
        <f>IF(Monitorios="SI",Datos!CG12,0)</f>
        <v>#REF!</v>
      </c>
      <c r="P12" t="e">
        <f>IF(Monitorios="SI",Datos!CH12,0)</f>
        <v>#REF!</v>
      </c>
      <c r="Q12">
        <f>IF(J_V="SI",0,Datos!AG12)</f>
        <v>163</v>
      </c>
      <c r="R12">
        <f>IF(J_V="SI",0,Datos!AH12)</f>
        <v>224</v>
      </c>
      <c r="S12">
        <f>IF(J_V="SI",0,Datos!AI12)</f>
        <v>205</v>
      </c>
      <c r="T12">
        <f>IF(J_V="SI",0,Datos!AJ12)</f>
        <v>172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-0.10820895522388059</v>
      </c>
      <c r="I14" s="402">
        <f>IF(ISNUMBER((Tasas!C14-Datos!BE14)/Datos!BE14),(Tasas!C14-Datos!BE14)/Datos!BE14," - ")</f>
        <v>2.5527886806512308E-2</v>
      </c>
      <c r="J14" s="400">
        <f>IF(ISNUMBER((Tasas!D14-Datos!BF14)/Datos!BF14),(Tasas!D14-Datos!BF14)/Datos!BF14," - ")</f>
        <v>0.67772155833390879</v>
      </c>
      <c r="K14" s="403">
        <f>IF(ISNUMBER((Tasas!E14-Datos!BG14)/Datos!BG14),(Tasas!E14-Datos!BG14)/Datos!BG14," - ")</f>
        <v>-2.0894239749760884E-2</v>
      </c>
      <c r="M14" t="e">
        <f>IF(Monitorios="SI",Datos!CE14,0)</f>
        <v>#REF!</v>
      </c>
      <c r="N14" t="e">
        <f>IF(Monitorios="SI",Datos!CF14,0)</f>
        <v>#REF!</v>
      </c>
      <c r="O14" t="e">
        <f>IF(Monitorios="SI",Datos!CG14,0)</f>
        <v>#REF!</v>
      </c>
      <c r="P14" t="e">
        <f>IF(Monitorios="SI",Datos!CH14,0)</f>
        <v>#REF!</v>
      </c>
      <c r="Q14">
        <f>IF(J_V="SI",0,Datos!AG14)</f>
        <v>163</v>
      </c>
      <c r="R14">
        <f>IF(J_V="SI",0,Datos!AH14)</f>
        <v>224</v>
      </c>
      <c r="S14">
        <f>IF(J_V="SI",0,Datos!AI14)</f>
        <v>205</v>
      </c>
      <c r="T14">
        <f>IF(J_V="SI",0,Datos!AJ14)</f>
        <v>172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-0.11451316595223515</v>
      </c>
      <c r="E17" s="393">
        <f>IF(ISNUMBER(
   IF(D_I="SI",(Datos!J17-Datos!T17)/Datos!T17,(Datos!J17+Datos!AD17-(Datos!T17+Datos!AL17))/(Datos!T17+Datos!AL17))
     ),IF(D_I="SI",(Datos!J17-Datos!T17)/Datos!T17,(Datos!J17+Datos!AD17-(Datos!T17+Datos!AL17))/(Datos!T17+Datos!AL17))," - ")</f>
        <v>-9.9516240497581204E-2</v>
      </c>
      <c r="F17" s="393">
        <f>IF(ISNUMBER(
   IF(D_I="SI",(Datos!K17-Datos!U17)/Datos!U17,(Datos!K17+Datos!AE17-(Datos!U17+Datos!AM17))/(Datos!U17+Datos!AM17))
     ),IF(D_I="SI",(Datos!K17-Datos!U17)/Datos!U17,(Datos!K17+Datos!AE17-(Datos!U17+Datos!AM17))/(Datos!U17+Datos!AM17))," - ")</f>
        <v>-3.5893754486719311E-2</v>
      </c>
      <c r="G17" s="394">
        <f>IF(ISNUMBER(
   IF(D_I="SI",(Datos!L17-Datos!V17)/Datos!V17,(Datos!L17+Datos!AF17-(Datos!V17+Datos!AN17))/(Datos!V17+Datos!AN17))
     ),IF(D_I="SI",(Datos!L17-Datos!V17)/Datos!V17,(Datos!L17+Datos!AF17-(Datos!V17+Datos!AN17))/(Datos!V17+Datos!AN17))," - ")</f>
        <v>-0.1566193853427896</v>
      </c>
      <c r="H17" s="244">
        <f>IF(ISNUMBER((Datos!M17-Datos!W17)/Datos!W17),(Datos!M17-Datos!W17)/Datos!W17," - ")</f>
        <v>0.11267605633802817</v>
      </c>
      <c r="I17" s="395">
        <f>IF(ISNUMBER((Tasas!C17-Datos!BE17)/Datos!BE17),(Tasas!C17-Datos!BE17)/Datos!BE17," - ")</f>
        <v>-0.12522025598101705</v>
      </c>
      <c r="J17" s="394">
        <f>IF(ISNUMBER((Tasas!D17-Datos!BF17)/Datos!BF17),(Tasas!D17-Datos!BF17)/Datos!BF17," - ")</f>
        <v>0.15410107705053855</v>
      </c>
      <c r="K17" s="396">
        <f>IF(ISNUMBER((Tasas!E17-Datos!BG17)/Datos!BG17),(Tasas!E17-Datos!BG17)/Datos!BG17," - ")</f>
        <v>-7.4238475597373524E-2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7.6086956521739135E-2</v>
      </c>
      <c r="E18" s="393">
        <f>IF(ISNUMBER(
   IF(D_I="SI",(Datos!J18-Datos!T18)/Datos!T18,(Datos!J18+Datos!AD18-(Datos!T18+Datos!AL18))/(Datos!T18+Datos!AL18))
     ),IF(D_I="SI",(Datos!J18-Datos!T18)/Datos!T18,(Datos!J18+Datos!AD18-(Datos!T18+Datos!AL18))/(Datos!T18+Datos!AL18))," - ")</f>
        <v>0.68907563025210083</v>
      </c>
      <c r="F18" s="393">
        <f>IF(ISNUMBER(
   IF(D_I="SI",(Datos!K18-Datos!U18)/Datos!U18,(Datos!K18+Datos!AE18-(Datos!U18+Datos!AM18))/(Datos!U18+Datos!AM18))
     ),IF(D_I="SI",(Datos!K18-Datos!U18)/Datos!U18,(Datos!K18+Datos!AE18-(Datos!U18+Datos!AM18))/(Datos!U18+Datos!AM18))," - ")</f>
        <v>0.60360360360360366</v>
      </c>
      <c r="G18" s="394">
        <f>IF(ISNUMBER(
   IF(D_I="SI",(Datos!L18-Datos!V18)/Datos!V18,(Datos!L18+Datos!AF18-(Datos!V18+Datos!AN18))/(Datos!V18+Datos!AN18))
     ),IF(D_I="SI",(Datos!L18-Datos!V18)/Datos!V18,(Datos!L18+Datos!AF18-(Datos!V18+Datos!AN18))/(Datos!V18+Datos!AN18))," - ")</f>
        <v>0.22</v>
      </c>
      <c r="H18" s="244">
        <f>IF(ISNUMBER((Datos!M18-Datos!W18)/Datos!W18),(Datos!M18-Datos!W18)/Datos!W18," - ")</f>
        <v>1.2</v>
      </c>
      <c r="I18" s="395">
        <f>IF(ISNUMBER((Tasas!C18-Datos!BE18)/Datos!BE18),(Tasas!C18-Datos!BE18)/Datos!BE18," - ")</f>
        <v>-0.23921348314606741</v>
      </c>
      <c r="J18" s="394">
        <f>IF(ISNUMBER((Tasas!D18-Datos!BF18)/Datos!BF18),(Tasas!D18-Datos!BF18)/Datos!BF18," - ")</f>
        <v>0.37191011235955057</v>
      </c>
      <c r="K18" s="396">
        <f>IF(ISNUMBER((Tasas!E18-Datos!BG18)/Datos!BG18),(Tasas!E18-Datos!BG18)/Datos!BG18," - ")</f>
        <v>-0.11337131902657224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-0.10434782608695652</v>
      </c>
      <c r="E23" s="399">
        <f>IF(ISNUMBER(
   IF(D_I="SI",(Datos!J23-Datos!T23)/Datos!T23,(Datos!J23+Datos!AD23-(Datos!T23+Datos!AL23))/(Datos!T23+Datos!AL23))
     ),IF(D_I="SI",(Datos!J23-Datos!T23)/Datos!T23,(Datos!J23+Datos!AD23-(Datos!T23+Datos!AL23))/(Datos!T23+Datos!AL23))," - ")</f>
        <v>-3.9591315453384422E-2</v>
      </c>
      <c r="F23" s="399">
        <f>IF(ISNUMBER(
   IF(D_I="SI",(Datos!K23-Datos!U23)/Datos!U23,(Datos!K23+Datos!AE23-(Datos!U23+Datos!AM23))/(Datos!U23+Datos!AM23))
     ),IF(D_I="SI",(Datos!K23-Datos!U23)/Datos!U23,(Datos!K23+Datos!AE23-(Datos!U23+Datos!AM23))/(Datos!U23+Datos!AM23))," - ")</f>
        <v>1.1303191489361703E-2</v>
      </c>
      <c r="G23" s="400">
        <f>IF(ISNUMBER(
   IF(D_I="SI",(Datos!L23-Datos!V23)/Datos!V23,(Datos!L23+Datos!AF23-(Datos!V23+Datos!AN23))/(Datos!V23+Datos!AN23))
     ),IF(D_I="SI",(Datos!L23-Datos!V23)/Datos!V23,(Datos!L23+Datos!AF23-(Datos!V23+Datos!AN23))/(Datos!V23+Datos!AN23))," - ")</f>
        <v>-0.13560267857142858</v>
      </c>
      <c r="H23" s="401">
        <f>IF(ISNUMBER((Datos!M23-Datos!W23)/Datos!W23),(Datos!M23-Datos!W23)/Datos!W23," - ")</f>
        <v>0.18421052631578946</v>
      </c>
      <c r="I23" s="402">
        <f>IF(ISNUMBER((Tasas!C23-Datos!BE23)/Datos!BE23),(Tasas!C23-Datos!BE23)/Datos!BE23," - ")</f>
        <v>-0.14526392411007791</v>
      </c>
      <c r="J23" s="400">
        <f>IF(ISNUMBER((Tasas!D23-Datos!BF23)/Datos!BF23),(Tasas!D23-Datos!BF23)/Datos!BF23," - ")</f>
        <v>0.17097477421364046</v>
      </c>
      <c r="K23" s="403">
        <f>IF(ISNUMBER((Tasas!E23-Datos!BG23)/Datos!BG23),(Tasas!E23-Datos!BG23)/Datos!BG23," - ")</f>
        <v>-8.3888859921396233E-2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-6.7498581962563808E-2</v>
      </c>
      <c r="E31" s="409">
        <f>IF(ISNUMBER(
   IF(J_V="SI",(Datos!J31-Datos!T31)/Datos!T31,(Datos!J31+Datos!Z31-(Datos!T31+Datos!AH31))/(Datos!T31+Datos!AH31))
     ),IF(J_V="SI",(Datos!J31-Datos!T31)/Datos!T31,(Datos!J31+Datos!Z31-(Datos!T31+Datos!AH31))/(Datos!T31+Datos!AH31))," - ")</f>
        <v>-0.1281583745767127</v>
      </c>
      <c r="F31" s="409">
        <f>IF(ISNUMBER(
   IF(J_V="SI",(Datos!K31-Datos!U31)/Datos!U31,(Datos!K31+Datos!AA31-(Datos!U31+Datos!AI31))/(Datos!U31+Datos!AI31))
     ),IF(J_V="SI",(Datos!K31-Datos!U31)/Datos!U31,(Datos!K31+Datos!AA31-(Datos!U31+Datos!AI31))/(Datos!U31+Datos!AI31))," - ")</f>
        <v>-4.2340488091737724E-2</v>
      </c>
      <c r="G31" s="410">
        <f>IF(ISNUMBER(
   IF(J_V="SI",(Datos!L31-Datos!V31)/Datos!V31,(Datos!L31+Datos!AB31-(Datos!V31+Datos!AJ31))/(Datos!V31+Datos!AJ31))
     ),IF(J_V="SI",(Datos!L31-Datos!V31)/Datos!V31,(Datos!L31+Datos!AB31-(Datos!V31+Datos!AJ31))/(Datos!V31+Datos!AJ31))," - ")</f>
        <v>-8.5584768812330014E-2</v>
      </c>
      <c r="H31" s="411">
        <f>IF(ISNUMBER((Datos!M31-Datos!W31)/Datos!W31),(Datos!M31-Datos!W31)/Datos!W31," - ")</f>
        <v>-4.3604651162790699E-2</v>
      </c>
      <c r="I31" s="408">
        <f>IF(ISNUMBER((Tasas!C31-Datos!BE31)/Datos!BE31),(Tasas!C31-Datos!BE31)/Datos!BE31," - ")</f>
        <v>-4.5156216988251278E-2</v>
      </c>
      <c r="J31" s="409">
        <f>IF(ISNUMBER((Tasas!D31-Datos!BF31)/Datos!BF31),(Tasas!D31-Datos!BF31)/Datos!BF31," - ")</f>
        <v>0.48293194734970379</v>
      </c>
      <c r="K31" s="410">
        <f>IF(ISNUMBER((Tasas!E31-Datos!BG31)/Datos!BG31),(Tasas!E31-Datos!BG31)/Datos!BG31," - ")</f>
        <v>-5.2910275905438689E-2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9.0940209227481958E-2</v>
      </c>
      <c r="E33" s="303">
        <f t="shared" si="1"/>
        <v>0.61460542470881929</v>
      </c>
      <c r="F33" s="303">
        <f t="shared" si="1"/>
        <v>0.42044983549040793</v>
      </c>
      <c r="G33" s="304">
        <f t="shared" si="1"/>
        <v>0.17813883973763403</v>
      </c>
      <c r="H33" s="310">
        <f t="shared" si="1"/>
        <v>0.48705690904153193</v>
      </c>
      <c r="I33" s="302">
        <f t="shared" si="1"/>
        <v>0.16668228981489541</v>
      </c>
      <c r="J33" s="303">
        <f t="shared" si="1"/>
        <v>0.38431369898064138</v>
      </c>
      <c r="K33" s="304">
        <f t="shared" si="1"/>
        <v>0.10855086638769598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u0z1vafxR1FQojeKe0UI+CW7Mb71kZFTa9pA53g52RwTEv/GR14kv/09NkugJpsIZiqjK++yKbcv5QAQW8Msw==" saltValue="IEMol0jPRBxpJ68ZBoAj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